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45" yWindow="45" windowWidth="9540" windowHeight="4545" tabRatio="802" activeTab="0"/>
  </bookViews>
  <sheets>
    <sheet name="Instructions" sheetId="1" r:id="rId1"/>
    <sheet name="Input" sheetId="2" r:id="rId2"/>
    <sheet name="Calculations" sheetId="3" r:id="rId3"/>
    <sheet name="Statements" sheetId="4" r:id="rId4"/>
    <sheet name="Analyses" sheetId="5" r:id="rId5"/>
  </sheets>
  <definedNames>
    <definedName name="Add_Bar" localSheetId="1">#REF!</definedName>
    <definedName name="Analysis">'Analyses'!#REF!</definedName>
    <definedName name="Assumptions">'Input'!$A$4:$T$182</definedName>
    <definedName name="B_Cost_Sales">'Input'!#REF!</definedName>
    <definedName name="B_Rev_Store">'Input'!#REF!</definedName>
    <definedName name="B_Sales_Store">'Input'!#REF!</definedName>
    <definedName name="B_Seller_Amort">'Input'!#REF!</definedName>
    <definedName name="B_SGA_Store">'Input'!#REF!</definedName>
    <definedName name="Calc_Months">'Calculations'!#REF!</definedName>
    <definedName name="Calcs">'Calculations'!$A$6:$T$96</definedName>
    <definedName name="Ceiling">'Calculations'!#REF!</definedName>
    <definedName name="Cost_Sales_Opers">'Input'!$O$100:$S$100</definedName>
    <definedName name="Cover_Page">'Input'!#REF!</definedName>
    <definedName name="Days">'Input'!$M$139</definedName>
    <definedName name="Diagnostics">'Statements'!$A$187:$R$233</definedName>
    <definedName name="EndingRevolver">'Calculations'!#REF!</definedName>
    <definedName name="Facility_Fee">'Calculations'!#REF!</definedName>
    <definedName name="Graphs">#REF!</definedName>
    <definedName name="M_Cost_Sales">'Input'!#REF!</definedName>
    <definedName name="M_Rev_Store">'Input'!#REF!</definedName>
    <definedName name="M_Sales_Store">'Input'!#REF!</definedName>
    <definedName name="M_Seller_Amort">'Input'!#REF!</definedName>
    <definedName name="M_SGA_Store">'Input'!#REF!</definedName>
    <definedName name="Paydown">'Calculations'!#REF!</definedName>
    <definedName name="_xlnm.Print_Area" localSheetId="4">'Analyses'!$A$6:$T$50</definedName>
    <definedName name="_xlnm.Print_Area" localSheetId="2">'Calculations'!$A$5:$T$110</definedName>
    <definedName name="_xlnm.Print_Area" localSheetId="1">'Input'!$A$4:$T$178</definedName>
    <definedName name="_xlnm.Print_Area" localSheetId="3">'Statements'!$A$6:$R$166</definedName>
    <definedName name="Rate" localSheetId="2">'Calculations'!#REF!</definedName>
    <definedName name="Revolver_Use">'Input'!#REF!</definedName>
    <definedName name="Sales_Growth">'Input'!#REF!</definedName>
    <definedName name="Seller_Amort">'Input'!#REF!</definedName>
    <definedName name="SGA_Growth">'Input'!#REF!</definedName>
    <definedName name="Stmts">'Statements'!$A$6:$R$166</definedName>
    <definedName name="Stmts_months">'Statements'!$A$6:$AG$166</definedName>
  </definedNames>
  <calcPr fullCalcOnLoad="1"/>
</workbook>
</file>

<file path=xl/sharedStrings.xml><?xml version="1.0" encoding="utf-8"?>
<sst xmlns="http://schemas.openxmlformats.org/spreadsheetml/2006/main" count="315" uniqueCount="246">
  <si>
    <t>MODEL INPUT</t>
  </si>
  <si>
    <t>I</t>
  </si>
  <si>
    <t>Project</t>
  </si>
  <si>
    <t>Project Costs-Capitalized</t>
  </si>
  <si>
    <t>Project Costs-Expensed</t>
  </si>
  <si>
    <t>Project Fees</t>
  </si>
  <si>
    <t>Date (MM/DD/YYYY)</t>
  </si>
  <si>
    <t>II</t>
  </si>
  <si>
    <t>Historical Financial Information</t>
  </si>
  <si>
    <t>Pre-Implementation</t>
  </si>
  <si>
    <t>Base Year*</t>
  </si>
  <si>
    <t>Income Statement</t>
  </si>
  <si>
    <t>Sales Revenue</t>
  </si>
  <si>
    <t>Net Sales Revenue</t>
  </si>
  <si>
    <t>Cost of Sales</t>
  </si>
  <si>
    <t>Selling Expenses</t>
  </si>
  <si>
    <t>R&amp;D Expenses</t>
  </si>
  <si>
    <t>General and Administrative</t>
  </si>
  <si>
    <t>Total Non-Sales Expenses</t>
  </si>
  <si>
    <t>Depreciation</t>
  </si>
  <si>
    <t>Amortization</t>
  </si>
  <si>
    <t>Other Controllable Expenses</t>
  </si>
  <si>
    <t>Interest Expense</t>
  </si>
  <si>
    <t>Interest Income</t>
  </si>
  <si>
    <t>Miscellaneous Income</t>
  </si>
  <si>
    <t>Income Tax</t>
  </si>
  <si>
    <t>Preferred Dividends</t>
  </si>
  <si>
    <t>* Current or Post-Implementation Year</t>
  </si>
  <si>
    <t>Balance Sheet</t>
  </si>
  <si>
    <t>Current Assets</t>
  </si>
  <si>
    <t>Cash</t>
  </si>
  <si>
    <t>Accounts Receivable</t>
  </si>
  <si>
    <t>Inventory</t>
  </si>
  <si>
    <t>Prepaid Expenses</t>
  </si>
  <si>
    <t>Other Current Assets</t>
  </si>
  <si>
    <t>Noncurrent Assets</t>
  </si>
  <si>
    <t>Machinery and Equipment</t>
  </si>
  <si>
    <t>Building  and Plant</t>
  </si>
  <si>
    <t>Accumulated Depreciation</t>
  </si>
  <si>
    <t>Deferred Income Tax Asset</t>
  </si>
  <si>
    <t xml:space="preserve">Other Noncurrent Assets </t>
  </si>
  <si>
    <t>Intangible Assets</t>
  </si>
  <si>
    <t>Deferred Fin./ License/Startup</t>
  </si>
  <si>
    <t>Goodwill</t>
  </si>
  <si>
    <t>Other Intangibles</t>
  </si>
  <si>
    <t>Accumulated Amortization</t>
  </si>
  <si>
    <t>Current Liabilities</t>
  </si>
  <si>
    <t>Interest Payable</t>
  </si>
  <si>
    <t>Accounts Payable</t>
  </si>
  <si>
    <t xml:space="preserve">Other Accrued Expenses </t>
  </si>
  <si>
    <t>Unearned Revenue</t>
  </si>
  <si>
    <t xml:space="preserve">Notes Payable </t>
  </si>
  <si>
    <t>Current Portion of Long Term Debt</t>
  </si>
  <si>
    <t>Taxes Payable</t>
  </si>
  <si>
    <t>Distributions Payable</t>
  </si>
  <si>
    <t>Other Current Liabilities</t>
  </si>
  <si>
    <t>Noncurrent Liabilities</t>
  </si>
  <si>
    <t>Long-Term Notes</t>
  </si>
  <si>
    <t>Deferred Income Tax Liability</t>
  </si>
  <si>
    <t>Deferred Taxes Payable</t>
  </si>
  <si>
    <t>Shareholder Equity</t>
  </si>
  <si>
    <t>Retained Earnings</t>
  </si>
  <si>
    <t>Common Equity</t>
  </si>
  <si>
    <t>Additional Paid-in Capital</t>
  </si>
  <si>
    <t>Preferred Stock</t>
  </si>
  <si>
    <t>Treasury Stock</t>
  </si>
  <si>
    <t>Other Equity</t>
  </si>
  <si>
    <t>Number of Shares - Common Stock</t>
  </si>
  <si>
    <t>III</t>
  </si>
  <si>
    <t>Post-Implementation Growth</t>
  </si>
  <si>
    <t>Operating Assumptions</t>
  </si>
  <si>
    <t>Benchmark</t>
  </si>
  <si>
    <t>Income Statement Assumptions</t>
  </si>
  <si>
    <t xml:space="preserve">Sales  Revenue </t>
  </si>
  <si>
    <t>Projected Expenses</t>
  </si>
  <si>
    <t>Post-Implementation Percentages</t>
  </si>
  <si>
    <t>Gross Margin Percentage</t>
  </si>
  <si>
    <t>Cost of Sales (% Rev)</t>
  </si>
  <si>
    <t>Balance Sheet Items</t>
  </si>
  <si>
    <t>Capital Expenditures:</t>
  </si>
  <si>
    <t>Notes Payable</t>
  </si>
  <si>
    <t>Long-Term Notes Payable</t>
  </si>
  <si>
    <t>Equity Assumptions</t>
  </si>
  <si>
    <t>Cash Flow Assumptions</t>
  </si>
  <si>
    <t>Preferred Stock Dividends</t>
  </si>
  <si>
    <t>Dividend Distributions to Common Shareholders</t>
  </si>
  <si>
    <t>Days in Year</t>
  </si>
  <si>
    <t>IV</t>
  </si>
  <si>
    <t>Percent</t>
  </si>
  <si>
    <t>Period</t>
  </si>
  <si>
    <t>Amortizable</t>
  </si>
  <si>
    <t>V</t>
  </si>
  <si>
    <t>Additional Assumptions</t>
  </si>
  <si>
    <t>Effective Federal Income Tax Rate</t>
  </si>
  <si>
    <t>Weighted Average Cost of Capital</t>
  </si>
  <si>
    <t>Effective State Income Tax Rate</t>
  </si>
  <si>
    <t>Interest Income Rate on Excess Cash Balances</t>
  </si>
  <si>
    <t>Asset Lives</t>
  </si>
  <si>
    <t>Fair Market Value of Assets in Excess of Book:</t>
  </si>
  <si>
    <t>Fixed Assets</t>
  </si>
  <si>
    <t>Current Liabilities Assumed</t>
  </si>
  <si>
    <t>CALCULATIONS</t>
  </si>
  <si>
    <t>Book Depreciation</t>
  </si>
  <si>
    <t>Existing</t>
  </si>
  <si>
    <t>Existing Basis</t>
  </si>
  <si>
    <t>Life</t>
  </si>
  <si>
    <t>Basis</t>
  </si>
  <si>
    <t>Total</t>
  </si>
  <si>
    <t>Incremental Capital Expenditures</t>
  </si>
  <si>
    <t>Total Book Depreciation</t>
  </si>
  <si>
    <t>Income Taxes</t>
  </si>
  <si>
    <t>Taxable Income Before NOL</t>
  </si>
  <si>
    <t>Less:</t>
  </si>
  <si>
    <t>NOL Utilized</t>
  </si>
  <si>
    <t>Taxable Income</t>
  </si>
  <si>
    <t>Blended</t>
  </si>
  <si>
    <t>Cash Income Taxes</t>
  </si>
  <si>
    <t>State @</t>
  </si>
  <si>
    <t>Federal @</t>
  </si>
  <si>
    <t>Income Taxes, per Books</t>
  </si>
  <si>
    <t>Current Year Deferred Income Tax Benefit (Expense) - Temporary Difference</t>
  </si>
  <si>
    <t>Cumulative Deferred Income Tax Asset (Liability)</t>
  </si>
  <si>
    <t>Net Operating Loss (“NOL”), Beginning Balance</t>
  </si>
  <si>
    <t>Additional NOL Created</t>
  </si>
  <si>
    <t>NOL, Ending Balance</t>
  </si>
  <si>
    <t>Intangible Asset Amortization</t>
  </si>
  <si>
    <t>Lic. Agr. / Def. Fin.</t>
  </si>
  <si>
    <t>Beginning Balance</t>
  </si>
  <si>
    <t>Ending Balance</t>
  </si>
  <si>
    <t>Incremental Project Expenditures</t>
  </si>
  <si>
    <t>Total Amortization</t>
  </si>
  <si>
    <t xml:space="preserve">SVA </t>
  </si>
  <si>
    <t>Income From Continuing Operations</t>
  </si>
  <si>
    <t>W.A.C.C. x (Total Noncurrent Assets + Working Capital)</t>
  </si>
  <si>
    <t>SVA</t>
  </si>
  <si>
    <t>NPV &amp; IRR</t>
  </si>
  <si>
    <t>Net Cash Flow</t>
  </si>
  <si>
    <t xml:space="preserve">Less: </t>
  </si>
  <si>
    <t>Total Project Costs</t>
  </si>
  <si>
    <t>Cash Outflow/Inflow</t>
  </si>
  <si>
    <t>BALANCE SHEET (Million of Dollars)</t>
  </si>
  <si>
    <t>Post-Implementation</t>
  </si>
  <si>
    <t>ASSETS</t>
  </si>
  <si>
    <t>Total Current Assets</t>
  </si>
  <si>
    <t>Net Fixed Assets</t>
  </si>
  <si>
    <t xml:space="preserve">Less:  </t>
  </si>
  <si>
    <t>Total Intangible Assets</t>
  </si>
  <si>
    <t>Total Noncurrent Assets</t>
  </si>
  <si>
    <t>Total Assets</t>
  </si>
  <si>
    <t>LIABILITIES</t>
  </si>
  <si>
    <t>Other Accrued Expenses</t>
  </si>
  <si>
    <t>Total Current Liabilities</t>
  </si>
  <si>
    <t>Total Noncurrent Liabilities</t>
  </si>
  <si>
    <t>Total Liabilities</t>
  </si>
  <si>
    <t>SHAREHOLDER’S EQUITY</t>
  </si>
  <si>
    <t>Additional Paid in Capital</t>
  </si>
  <si>
    <t>Total Shareholder’s Equity</t>
  </si>
  <si>
    <t>Total Liabilities and Shareholder’s Equity</t>
  </si>
  <si>
    <t>STATEMENT OF INCOME AND RETAINED EARNINGS (Million of Dollars)</t>
  </si>
  <si>
    <t>Gross Margin on Sales</t>
  </si>
  <si>
    <t>Expense Projections '99 Forward</t>
  </si>
  <si>
    <t>General and Admin Expenses</t>
  </si>
  <si>
    <t xml:space="preserve">Earnings Before Interest, Tax, Depr. and Amort. </t>
  </si>
  <si>
    <t>Selling Expense Percentage</t>
  </si>
  <si>
    <t>Total Operating Expenses</t>
  </si>
  <si>
    <t>Earnings Before Interest and Tax (“EBIT”)</t>
  </si>
  <si>
    <t>Total Interest Expense</t>
  </si>
  <si>
    <t>Income from Continuing Operations</t>
  </si>
  <si>
    <t>Provision for State &amp; Federal Tax</t>
  </si>
  <si>
    <t>Net Income Before Dividends</t>
  </si>
  <si>
    <t>Net Income Available to Common Shareholders</t>
  </si>
  <si>
    <t>Retained Earnings, Beginning of Period</t>
  </si>
  <si>
    <t>Dividends</t>
  </si>
  <si>
    <t>Retained Earnings, End of Period</t>
  </si>
  <si>
    <t>CASH FLOW STATEMENT (Million of Dollars)</t>
  </si>
  <si>
    <t>Adjustments to Reconcile Net Income to Cash from Operations</t>
  </si>
  <si>
    <t>Depreciation and Amortization</t>
  </si>
  <si>
    <t>Accrued Expenses and Bonuses</t>
  </si>
  <si>
    <t>Change in Customer Deposits</t>
  </si>
  <si>
    <t>Change in Deferred Income Tax</t>
  </si>
  <si>
    <t>Cash Provided (Used) by Operating Activities</t>
  </si>
  <si>
    <t>Investing Activities</t>
  </si>
  <si>
    <t>Cash Provided (Used) by Investing Activities</t>
  </si>
  <si>
    <t>Financing Activities</t>
  </si>
  <si>
    <t>Change in Notes Payable</t>
  </si>
  <si>
    <t>Cash Provided (Used) by Financing Activities</t>
  </si>
  <si>
    <t>Net Cash Flow Available to Common Shareholders</t>
  </si>
  <si>
    <t>Cash, Beginning Balance</t>
  </si>
  <si>
    <t>Cash, Ending Balance</t>
  </si>
  <si>
    <t>DIAGNOSTIC SUMMARY</t>
  </si>
  <si>
    <t>Check</t>
  </si>
  <si>
    <t>ANALYSIS</t>
  </si>
  <si>
    <t>Financial and Operating Ratios</t>
  </si>
  <si>
    <t>Liquidity Ratios</t>
  </si>
  <si>
    <t>Current Ratio (Current Assets/Current Liabilities)</t>
  </si>
  <si>
    <t>Quick Ratio (Cash, Equivalents and Accounts Receivable/Current Liabilities)</t>
  </si>
  <si>
    <t>Working Capital (Current Assets Less Current Liabilities)</t>
  </si>
  <si>
    <t>Activity Ratios</t>
  </si>
  <si>
    <t>Sales/Average Receivables</t>
  </si>
  <si>
    <t>Days in Average Receivables</t>
  </si>
  <si>
    <t>Cost of Sales/Average Inventory</t>
  </si>
  <si>
    <t>Days in Average Inventory</t>
  </si>
  <si>
    <t>Cost of Sales/Average Accounts Payable</t>
  </si>
  <si>
    <t>Days in Average Accounts Payable</t>
  </si>
  <si>
    <t>Working Capital Turnover (Net Sales Revenue/(Average Working Capital)</t>
  </si>
  <si>
    <t>Fixed Asset Turnover (Net Sales Revenue/Average Net Fixed Assets)</t>
  </si>
  <si>
    <t>Asset Turnover (Net Sales Revenue/Average Total Assets)</t>
  </si>
  <si>
    <t>Profitability Ratios</t>
  </si>
  <si>
    <t>Net Income/Average Shareholder’s Equity</t>
  </si>
  <si>
    <t xml:space="preserve">Growth </t>
  </si>
  <si>
    <t>Sales Growth</t>
  </si>
  <si>
    <t>EPS</t>
  </si>
  <si>
    <t>Cost</t>
  </si>
  <si>
    <t>NI/Sales (Profit Margin)</t>
  </si>
  <si>
    <t>Gross Margin</t>
  </si>
  <si>
    <t>SG&amp;A as a % of Sales</t>
  </si>
  <si>
    <t>Capital</t>
  </si>
  <si>
    <t>Assets/Sales</t>
  </si>
  <si>
    <t>ROI</t>
  </si>
  <si>
    <t>NPV</t>
  </si>
  <si>
    <t>IRR</t>
  </si>
  <si>
    <t>What-If Model</t>
  </si>
  <si>
    <t>What-If Model – Users Guide</t>
  </si>
  <si>
    <t>The What-If Model will allow a team the ability to model the potential financial impact of a variety of initiatives upon a company’s financial statements.  This scenario, or “what-if”, modeling will incorporate the company’s historical financial statements and five-year projections in conjunction with inputs provided by the Quantitative Model.  The historical and projected financial statements provided by the client will serve as the models “base” or “null” state.  The inputs provided by the Quantitative Model provide the variables to be modeled with the client projections.  The What-If Model will then provide expected changes in financial statements and financial statement metrics from the base assumptions.  These expected changes allow the team to target and prioritize the scenarios with the greatest expected benefits.  This prioritization will aid further discussions with management when determining further work to be performed.</t>
  </si>
  <si>
    <t>The model is segregated into four sections: inputs, calculations, statements, and analysis.  Only the input section is editable.  All other sections are protected and read only.  The model’s format does have the capacity to be modified quickly.  For example, if a subject business’s financial statements cannot be fit into the current format, the current format can be appended or changed to accommodate the different format.  Additionally, if the operating assumptions are inaccurate, they can also be altered to accommodate company-specific assumptions.  Outlined below is a description of Section One, and how particular areas operate within the section.  Sections Two – Four are protected and therefore have no operational details.</t>
  </si>
  <si>
    <t>Project Costs</t>
  </si>
  <si>
    <t>Segregate Capitalized and Expensed Project Costs based on the expenditure characteristics.</t>
  </si>
  <si>
    <t>Include project fees</t>
  </si>
  <si>
    <t>Income Statement - Based on audited financial report data, categorize revenues and expenses into the broad categories provided.</t>
  </si>
  <si>
    <t>Balance Sheet - Further, categorize assets, liabilities and equity into the appropriate balance sheet line items provided.</t>
  </si>
  <si>
    <t>Pre-Implementation and Base Year: these are darkened to illustrate that they are not inputs, but calculations for information purposes.</t>
  </si>
  <si>
    <t>Income Statement Assumptions are percentage changes in the current year from the prior year.</t>
  </si>
  <si>
    <t>Balance Sheet Assumptions are the assumption’s percentage of total assets.</t>
  </si>
  <si>
    <t>Post-Implementation:</t>
  </si>
  <si>
    <t>Sales revenue growth percentages are used for all projected years.  The financial statements use these percentages by multiplying the prior year sales dollars by one plus the growth rate for each year (compounding).</t>
  </si>
  <si>
    <t>The following items’ projected years’ costs are constant (i.e. equal to the base year) and are direct inputs from historical data: other controllable expenses, other accrued expenses, taxes payable, other current liabilities, long-term notes payable, deferred taxes payable, preferred stock, treasury stock, and dividend distribution to common shareholders.</t>
  </si>
  <si>
    <t>The following items use growth percentage changes for all projected years: R&amp;D expenses, G&amp;A expenses, interest expense, interest payable, notes payable, and distributions payable.  The financial statements use these percentages by multiplying the prior year dollars by one plus the growth rate input for each year.  Growth is not proportionate to sales.</t>
  </si>
  <si>
    <t xml:space="preserve">The following items use growth percentage changes for all projected years: selling expenses, accounts receivable, inventory, prepaid expenses, other current assets, other noncurrent assets, accounts payable, unearned revenue, and current portion of long-term debt.  The financial statements multiply the prior year dollars by one plus the growth rate input.  Further, this product is multiplied by one plus the sales growth input for each year to vary these items proportionally with sales.  </t>
  </si>
  <si>
    <t>Machinery &amp; Equipment and Building and Plant, for all projected years, are estimated capital expenditures in whole dollars.</t>
  </si>
  <si>
    <t>Client should provide their applicable tax rates, weighted average cost of capital, and interest rate on excess cash.</t>
  </si>
  <si>
    <t xml:space="preserve">Further, Asset lives and additional asset information should be captured.  </t>
  </si>
  <si>
    <t>Section Two – Calculations</t>
  </si>
  <si>
    <t>Protected Sheet, Read-only Access</t>
  </si>
  <si>
    <t>Section Three – Financial Statements</t>
  </si>
  <si>
    <t>Section Four - Analysis</t>
  </si>
  <si>
    <t>Input Template:</t>
  </si>
</sst>
</file>

<file path=xl/styles.xml><?xml version="1.0" encoding="utf-8"?>
<styleSheet xmlns="http://schemas.openxmlformats.org/spreadsheetml/2006/main">
  <numFmts count="4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mmm\-yyyy"/>
    <numFmt numFmtId="165" formatCode="yyyy"/>
    <numFmt numFmtId="166" formatCode="mmmm"/>
    <numFmt numFmtId="167" formatCode="#,##0.0_);\(#,##0.0\)"/>
    <numFmt numFmtId="168" formatCode=";;;"/>
    <numFmt numFmtId="169" formatCode="0.0%"/>
    <numFmt numFmtId="170" formatCode="mmm\ dd\,\ yyyy"/>
    <numFmt numFmtId="171" formatCode="0_)"/>
    <numFmt numFmtId="172" formatCode="#,##0.000_);\(#,##0.000\)"/>
    <numFmt numFmtId="173" formatCode="#,##0.0000_);\(#,##0.0000\)"/>
    <numFmt numFmtId="174" formatCode="&quot;$&quot;#,##0.0_);[Red]\(&quot;$&quot;#,##0.0\)"/>
    <numFmt numFmtId="175" formatCode="#,##0.000_);[Red]\(#,##0.000\)"/>
    <numFmt numFmtId="176" formatCode="#,##0.0000_);[Red]\(#,##0.0000\)"/>
    <numFmt numFmtId="177" formatCode="#,##0.0_);[Red]\(#,##0.0\)"/>
    <numFmt numFmtId="178" formatCode="\:\:\:"/>
    <numFmt numFmtId="179" formatCode="###0_);\(###0\)"/>
    <numFmt numFmtId="180" formatCode="mmmm\ dd\,\ yyyy"/>
    <numFmt numFmtId="181" formatCode="m/d/yyyy"/>
    <numFmt numFmtId="182" formatCode="yyyy_)"/>
    <numFmt numFmtId="183" formatCode="#,##0_);\(#,##0"/>
    <numFmt numFmtId="184" formatCode="mmm\ dd"/>
    <numFmt numFmtId="185" formatCode="#,##0.00_);[Red]\(#,##0\)"/>
    <numFmt numFmtId="186" formatCode="#,##0.000_);[Red]\(#,##0\)"/>
    <numFmt numFmtId="187" formatCode="yyyy\ "/>
    <numFmt numFmtId="188" formatCode="#,##0.000_);\(#,##0\)"/>
    <numFmt numFmtId="189" formatCode="0.000000000000"/>
    <numFmt numFmtId="190" formatCode="0.00000"/>
    <numFmt numFmtId="191" formatCode="0.0000"/>
    <numFmt numFmtId="192" formatCode="0%_)"/>
    <numFmt numFmtId="193" formatCode="#,##0.00_);\(#,##0\)"/>
    <numFmt numFmtId="194" formatCode="#,##0._);\(#,##0\)"/>
    <numFmt numFmtId="195" formatCode="&quot;$&quot;#,##0.000_);[Red]\(&quot;$&quot;#,##0.000\)"/>
    <numFmt numFmtId="196" formatCode="#,##0.00000000000"/>
    <numFmt numFmtId="197" formatCode="0.000%"/>
    <numFmt numFmtId="198" formatCode="0.0000%"/>
    <numFmt numFmtId="199" formatCode="#,##0.00000_);[Red]\(#,##0.00000\)"/>
    <numFmt numFmtId="200" formatCode="mmmm\ d\,\ yyyy"/>
    <numFmt numFmtId="201" formatCode="&quot;Yes&quot;;&quot;Yes&quot;;&quot;No&quot;"/>
    <numFmt numFmtId="202" formatCode="&quot;True&quot;;&quot;True&quot;;&quot;False&quot;"/>
    <numFmt numFmtId="203" formatCode="&quot;On&quot;;&quot;On&quot;;&quot;Off&quot;"/>
  </numFmts>
  <fonts count="14">
    <font>
      <sz val="10"/>
      <name val="Geneva"/>
      <family val="0"/>
    </font>
    <font>
      <b/>
      <sz val="10"/>
      <name val="Geneva"/>
      <family val="0"/>
    </font>
    <font>
      <i/>
      <sz val="10"/>
      <name val="Geneva"/>
      <family val="0"/>
    </font>
    <font>
      <b/>
      <i/>
      <sz val="10"/>
      <name val="Geneva"/>
      <family val="0"/>
    </font>
    <font>
      <sz val="10"/>
      <name val="Book Antiqua"/>
      <family val="1"/>
    </font>
    <font>
      <b/>
      <sz val="10"/>
      <name val="Book Antiqua"/>
      <family val="1"/>
    </font>
    <font>
      <i/>
      <sz val="10"/>
      <name val="Book Antiqua"/>
      <family val="1"/>
    </font>
    <font>
      <sz val="7"/>
      <name val="Book Antiqua"/>
      <family val="1"/>
    </font>
    <font>
      <sz val="8"/>
      <name val="Book Antiqua"/>
      <family val="1"/>
    </font>
    <font>
      <b/>
      <sz val="12"/>
      <name val="Book Antiqua"/>
      <family val="1"/>
    </font>
    <font>
      <sz val="12"/>
      <name val="Times New Roman"/>
      <family val="1"/>
    </font>
    <font>
      <b/>
      <sz val="14"/>
      <name val="Times New Roman"/>
      <family val="1"/>
    </font>
    <font>
      <b/>
      <u val="single"/>
      <sz val="10"/>
      <name val="Geneva"/>
      <family val="0"/>
    </font>
    <font>
      <i/>
      <sz val="12"/>
      <name val="Times New Roman"/>
      <family val="1"/>
    </font>
  </fonts>
  <fills count="7">
    <fill>
      <patternFill/>
    </fill>
    <fill>
      <patternFill patternType="gray125"/>
    </fill>
    <fill>
      <patternFill patternType="solid">
        <fgColor indexed="22"/>
        <bgColor indexed="64"/>
      </patternFill>
    </fill>
    <fill>
      <patternFill patternType="solid">
        <fgColor indexed="22"/>
        <bgColor indexed="64"/>
      </patternFill>
    </fill>
    <fill>
      <patternFill patternType="solid">
        <fgColor indexed="9"/>
        <bgColor indexed="64"/>
      </patternFill>
    </fill>
    <fill>
      <patternFill patternType="solid">
        <fgColor indexed="9"/>
        <bgColor indexed="64"/>
      </patternFill>
    </fill>
    <fill>
      <patternFill patternType="solid">
        <fgColor indexed="23"/>
        <bgColor indexed="64"/>
      </patternFill>
    </fill>
  </fills>
  <borders count="43">
    <border>
      <left/>
      <right/>
      <top/>
      <bottom/>
      <diagonal/>
    </border>
    <border>
      <left>
        <color indexed="63"/>
      </left>
      <right>
        <color indexed="63"/>
      </right>
      <top style="medium"/>
      <bottom>
        <color indexed="63"/>
      </bottom>
    </border>
    <border>
      <left style="double">
        <color indexed="17"/>
      </left>
      <right>
        <color indexed="63"/>
      </right>
      <top style="double">
        <color indexed="17"/>
      </top>
      <bottom>
        <color indexed="63"/>
      </bottom>
    </border>
    <border>
      <left>
        <color indexed="63"/>
      </left>
      <right>
        <color indexed="63"/>
      </right>
      <top style="double">
        <color indexed="17"/>
      </top>
      <bottom>
        <color indexed="63"/>
      </bottom>
    </border>
    <border>
      <left>
        <color indexed="63"/>
      </left>
      <right style="double">
        <color indexed="17"/>
      </right>
      <top style="double">
        <color indexed="17"/>
      </top>
      <bottom>
        <color indexed="63"/>
      </bottom>
    </border>
    <border>
      <left style="double">
        <color indexed="17"/>
      </left>
      <right>
        <color indexed="63"/>
      </right>
      <top>
        <color indexed="63"/>
      </top>
      <bottom style="double">
        <color indexed="17"/>
      </bottom>
    </border>
    <border>
      <left>
        <color indexed="63"/>
      </left>
      <right>
        <color indexed="63"/>
      </right>
      <top>
        <color indexed="63"/>
      </top>
      <bottom style="double">
        <color indexed="17"/>
      </bottom>
    </border>
    <border>
      <left>
        <color indexed="63"/>
      </left>
      <right style="double">
        <color indexed="17"/>
      </right>
      <top>
        <color indexed="63"/>
      </top>
      <bottom style="double">
        <color indexed="17"/>
      </bottom>
    </border>
    <border>
      <left>
        <color indexed="63"/>
      </left>
      <right>
        <color indexed="63"/>
      </right>
      <top>
        <color indexed="63"/>
      </top>
      <bottom style="mediu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color indexed="63"/>
      </left>
      <right>
        <color indexed="63"/>
      </right>
      <top>
        <color indexed="63"/>
      </top>
      <bottom style="hair"/>
    </border>
    <border>
      <left>
        <color indexed="63"/>
      </left>
      <right>
        <color indexed="63"/>
      </right>
      <top>
        <color indexed="63"/>
      </top>
      <bottom style="double"/>
    </border>
    <border>
      <left style="double"/>
      <right>
        <color indexed="63"/>
      </right>
      <top>
        <color indexed="63"/>
      </top>
      <bottom style="double"/>
    </border>
    <border>
      <left>
        <color indexed="63"/>
      </left>
      <right style="double"/>
      <top>
        <color indexed="63"/>
      </top>
      <bottom style="double"/>
    </border>
    <border>
      <left style="double"/>
      <right>
        <color indexed="63"/>
      </right>
      <top style="double"/>
      <bottom>
        <color indexed="63"/>
      </bottom>
    </border>
    <border>
      <left>
        <color indexed="63"/>
      </left>
      <right>
        <color indexed="63"/>
      </right>
      <top style="hair"/>
      <bottom style="double"/>
    </border>
    <border>
      <left>
        <color indexed="63"/>
      </left>
      <right>
        <color indexed="63"/>
      </right>
      <top style="hair"/>
      <bottom>
        <color indexed="63"/>
      </bottom>
    </border>
    <border>
      <left style="hair"/>
      <right style="hair"/>
      <top style="hair"/>
      <bottom style="hair"/>
    </border>
    <border>
      <left style="double">
        <color indexed="10"/>
      </left>
      <right>
        <color indexed="63"/>
      </right>
      <top style="double">
        <color indexed="10"/>
      </top>
      <bottom>
        <color indexed="63"/>
      </bottom>
    </border>
    <border>
      <left>
        <color indexed="63"/>
      </left>
      <right>
        <color indexed="63"/>
      </right>
      <top style="double">
        <color indexed="10"/>
      </top>
      <bottom>
        <color indexed="63"/>
      </bottom>
    </border>
    <border>
      <left>
        <color indexed="63"/>
      </left>
      <right style="double">
        <color indexed="10"/>
      </right>
      <top style="double">
        <color indexed="10"/>
      </top>
      <bottom>
        <color indexed="63"/>
      </bottom>
    </border>
    <border>
      <left>
        <color indexed="63"/>
      </left>
      <right>
        <color indexed="63"/>
      </right>
      <top>
        <color indexed="63"/>
      </top>
      <bottom style="dotted"/>
    </border>
    <border>
      <left style="double">
        <color indexed="13"/>
      </left>
      <right>
        <color indexed="63"/>
      </right>
      <top style="double">
        <color indexed="13"/>
      </top>
      <bottom>
        <color indexed="63"/>
      </bottom>
    </border>
    <border>
      <left>
        <color indexed="63"/>
      </left>
      <right>
        <color indexed="63"/>
      </right>
      <top style="double">
        <color indexed="13"/>
      </top>
      <bottom>
        <color indexed="63"/>
      </bottom>
    </border>
    <border>
      <left>
        <color indexed="63"/>
      </left>
      <right style="double">
        <color indexed="13"/>
      </right>
      <top style="double">
        <color indexed="13"/>
      </top>
      <bottom>
        <color indexed="63"/>
      </bottom>
    </border>
    <border>
      <left style="double">
        <color indexed="13"/>
      </left>
      <right>
        <color indexed="63"/>
      </right>
      <top>
        <color indexed="63"/>
      </top>
      <bottom style="double">
        <color indexed="13"/>
      </bottom>
    </border>
    <border>
      <left>
        <color indexed="63"/>
      </left>
      <right>
        <color indexed="63"/>
      </right>
      <top>
        <color indexed="63"/>
      </top>
      <bottom style="double">
        <color indexed="13"/>
      </bottom>
    </border>
    <border>
      <left>
        <color indexed="63"/>
      </left>
      <right style="double">
        <color indexed="13"/>
      </right>
      <top>
        <color indexed="63"/>
      </top>
      <bottom style="double">
        <color indexed="13"/>
      </bottom>
    </border>
    <border>
      <left style="hair"/>
      <right style="hair"/>
      <top>
        <color indexed="63"/>
      </top>
      <bottom style="hair"/>
    </border>
    <border>
      <left style="hair"/>
      <right style="hair"/>
      <top style="hair"/>
      <bottom>
        <color indexed="63"/>
      </bottom>
    </border>
    <border>
      <left>
        <color indexed="63"/>
      </left>
      <right>
        <color indexed="63"/>
      </right>
      <top style="hair"/>
      <bottom style="hair"/>
    </border>
    <border>
      <left>
        <color indexed="63"/>
      </left>
      <right style="double"/>
      <top>
        <color indexed="63"/>
      </top>
      <bottom style="medium"/>
    </border>
    <border>
      <left style="double">
        <color indexed="56"/>
      </left>
      <right>
        <color indexed="63"/>
      </right>
      <top style="double">
        <color indexed="56"/>
      </top>
      <bottom>
        <color indexed="63"/>
      </bottom>
    </border>
    <border>
      <left>
        <color indexed="63"/>
      </left>
      <right>
        <color indexed="63"/>
      </right>
      <top style="double">
        <color indexed="56"/>
      </top>
      <bottom>
        <color indexed="63"/>
      </bottom>
    </border>
    <border>
      <left>
        <color indexed="63"/>
      </left>
      <right style="double">
        <color indexed="56"/>
      </right>
      <top style="double">
        <color indexed="56"/>
      </top>
      <bottom>
        <color indexed="63"/>
      </bottom>
    </border>
    <border>
      <left style="double">
        <color indexed="56"/>
      </left>
      <right>
        <color indexed="63"/>
      </right>
      <top>
        <color indexed="63"/>
      </top>
      <bottom style="double">
        <color indexed="56"/>
      </bottom>
    </border>
    <border>
      <left>
        <color indexed="63"/>
      </left>
      <right>
        <color indexed="63"/>
      </right>
      <top>
        <color indexed="63"/>
      </top>
      <bottom style="double">
        <color indexed="56"/>
      </bottom>
    </border>
    <border>
      <left>
        <color indexed="63"/>
      </left>
      <right style="double">
        <color indexed="56"/>
      </right>
      <top>
        <color indexed="63"/>
      </top>
      <bottom style="double">
        <color indexed="56"/>
      </bottom>
    </border>
    <border>
      <left style="double">
        <color indexed="10"/>
      </left>
      <right>
        <color indexed="63"/>
      </right>
      <top>
        <color indexed="63"/>
      </top>
      <bottom>
        <color indexed="63"/>
      </bottom>
    </border>
    <border>
      <left>
        <color indexed="63"/>
      </left>
      <right style="double">
        <color indexed="10"/>
      </right>
      <top>
        <color indexed="63"/>
      </top>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243">
    <xf numFmtId="0" fontId="0" fillId="0" borderId="0" xfId="0" applyAlignment="1">
      <alignment/>
    </xf>
    <xf numFmtId="0" fontId="4" fillId="0" borderId="0" xfId="0" applyFont="1" applyAlignment="1">
      <alignment/>
    </xf>
    <xf numFmtId="37" fontId="4" fillId="2" borderId="1" xfId="0" applyNumberFormat="1" applyFont="1" applyFill="1" applyBorder="1" applyAlignment="1">
      <alignment/>
    </xf>
    <xf numFmtId="37" fontId="4" fillId="2" borderId="0" xfId="0" applyNumberFormat="1" applyFont="1" applyFill="1" applyAlignment="1">
      <alignment/>
    </xf>
    <xf numFmtId="37" fontId="5" fillId="2" borderId="0" xfId="0" applyNumberFormat="1" applyFont="1" applyFill="1" applyAlignment="1">
      <alignment/>
    </xf>
    <xf numFmtId="170" fontId="4" fillId="0" borderId="2" xfId="0" applyNumberFormat="1" applyFont="1" applyBorder="1" applyAlignment="1">
      <alignment horizontal="centerContinuous"/>
    </xf>
    <xf numFmtId="0" fontId="4" fillId="0" borderId="3" xfId="0" applyFont="1" applyFill="1" applyBorder="1" applyAlignment="1">
      <alignment horizontal="centerContinuous"/>
    </xf>
    <xf numFmtId="0" fontId="4" fillId="0" borderId="4" xfId="0" applyFont="1" applyFill="1" applyBorder="1" applyAlignment="1">
      <alignment horizontal="centerContinuous"/>
    </xf>
    <xf numFmtId="0" fontId="4" fillId="3" borderId="0" xfId="0" applyFont="1" applyFill="1" applyAlignment="1">
      <alignment/>
    </xf>
    <xf numFmtId="18" fontId="4" fillId="4" borderId="5" xfId="0" applyNumberFormat="1" applyFont="1" applyFill="1" applyBorder="1" applyAlignment="1">
      <alignment horizontal="centerContinuous"/>
    </xf>
    <xf numFmtId="0" fontId="4" fillId="0" borderId="6" xfId="0" applyFont="1" applyFill="1" applyBorder="1" applyAlignment="1">
      <alignment horizontal="centerContinuous"/>
    </xf>
    <xf numFmtId="0" fontId="4" fillId="0" borderId="7" xfId="0" applyFont="1" applyFill="1" applyBorder="1" applyAlignment="1">
      <alignment horizontal="centerContinuous"/>
    </xf>
    <xf numFmtId="38" fontId="4" fillId="2" borderId="0" xfId="0" applyNumberFormat="1" applyFont="1" applyFill="1" applyBorder="1" applyAlignment="1">
      <alignment/>
    </xf>
    <xf numFmtId="38" fontId="4" fillId="2" borderId="0" xfId="0" applyNumberFormat="1" applyFont="1" applyFill="1" applyAlignment="1">
      <alignment/>
    </xf>
    <xf numFmtId="38" fontId="4" fillId="0" borderId="0" xfId="0" applyNumberFormat="1" applyFont="1" applyAlignment="1">
      <alignment/>
    </xf>
    <xf numFmtId="38" fontId="4" fillId="0" borderId="8" xfId="0" applyNumberFormat="1" applyFont="1" applyBorder="1" applyAlignment="1">
      <alignment/>
    </xf>
    <xf numFmtId="38" fontId="4" fillId="0" borderId="0" xfId="0" applyNumberFormat="1" applyFont="1" applyBorder="1" applyAlignment="1">
      <alignment/>
    </xf>
    <xf numFmtId="0" fontId="4" fillId="0" borderId="0" xfId="0" applyFont="1" applyBorder="1" applyAlignment="1">
      <alignment/>
    </xf>
    <xf numFmtId="38" fontId="4" fillId="0" borderId="9" xfId="0" applyNumberFormat="1" applyFont="1" applyBorder="1" applyAlignment="1">
      <alignment/>
    </xf>
    <xf numFmtId="38" fontId="4" fillId="0" borderId="10" xfId="0" applyNumberFormat="1" applyFont="1" applyBorder="1" applyAlignment="1">
      <alignment/>
    </xf>
    <xf numFmtId="38" fontId="4" fillId="0" borderId="11" xfId="0" applyNumberFormat="1" applyFont="1" applyBorder="1" applyAlignment="1">
      <alignment/>
    </xf>
    <xf numFmtId="38" fontId="5" fillId="0" borderId="0" xfId="0" applyNumberFormat="1" applyFont="1" applyBorder="1" applyAlignment="1">
      <alignment/>
    </xf>
    <xf numFmtId="38" fontId="4" fillId="0" borderId="12" xfId="0" applyNumberFormat="1" applyFont="1" applyBorder="1" applyAlignment="1">
      <alignment/>
    </xf>
    <xf numFmtId="38" fontId="4" fillId="0" borderId="13" xfId="0" applyNumberFormat="1" applyFont="1" applyBorder="1" applyAlignment="1">
      <alignment/>
    </xf>
    <xf numFmtId="38" fontId="4" fillId="0" borderId="14" xfId="0" applyNumberFormat="1" applyFont="1" applyBorder="1" applyAlignment="1">
      <alignment/>
    </xf>
    <xf numFmtId="38" fontId="4" fillId="0" borderId="15" xfId="0" applyNumberFormat="1" applyFont="1" applyBorder="1" applyAlignment="1">
      <alignment/>
    </xf>
    <xf numFmtId="38" fontId="4" fillId="0" borderId="16" xfId="0" applyNumberFormat="1" applyFont="1" applyBorder="1" applyAlignment="1">
      <alignment/>
    </xf>
    <xf numFmtId="38" fontId="4" fillId="0" borderId="13" xfId="0" applyNumberFormat="1" applyFont="1" applyBorder="1" applyAlignment="1">
      <alignment horizontal="right"/>
    </xf>
    <xf numFmtId="37" fontId="4" fillId="0" borderId="11" xfId="0" applyNumberFormat="1" applyFont="1" applyBorder="1" applyAlignment="1">
      <alignment/>
    </xf>
    <xf numFmtId="37" fontId="4" fillId="0" borderId="0" xfId="0" applyNumberFormat="1" applyFont="1" applyBorder="1" applyAlignment="1">
      <alignment/>
    </xf>
    <xf numFmtId="10" fontId="4" fillId="0" borderId="0" xfId="0" applyNumberFormat="1" applyFont="1" applyBorder="1" applyAlignment="1">
      <alignment/>
    </xf>
    <xf numFmtId="10" fontId="4" fillId="0" borderId="0" xfId="0" applyNumberFormat="1" applyFont="1" applyAlignment="1">
      <alignment/>
    </xf>
    <xf numFmtId="37" fontId="4" fillId="0" borderId="12" xfId="0" applyNumberFormat="1" applyFont="1" applyBorder="1" applyAlignment="1">
      <alignment/>
    </xf>
    <xf numFmtId="37" fontId="4" fillId="0" borderId="0" xfId="0" applyNumberFormat="1" applyFont="1" applyAlignment="1">
      <alignment/>
    </xf>
    <xf numFmtId="37" fontId="4" fillId="0" borderId="15" xfId="0" applyNumberFormat="1" applyFont="1" applyBorder="1" applyAlignment="1">
      <alignment/>
    </xf>
    <xf numFmtId="37" fontId="4" fillId="0" borderId="14" xfId="0" applyNumberFormat="1" applyFont="1" applyBorder="1" applyAlignment="1">
      <alignment/>
    </xf>
    <xf numFmtId="37" fontId="4" fillId="0" borderId="16" xfId="0" applyNumberFormat="1" applyFont="1" applyBorder="1" applyAlignment="1">
      <alignment/>
    </xf>
    <xf numFmtId="37" fontId="4" fillId="0" borderId="17" xfId="0" applyNumberFormat="1" applyFont="1" applyBorder="1" applyAlignment="1">
      <alignment/>
    </xf>
    <xf numFmtId="37" fontId="4" fillId="0" borderId="9" xfId="0" applyNumberFormat="1" applyFont="1" applyBorder="1" applyAlignment="1">
      <alignment/>
    </xf>
    <xf numFmtId="37" fontId="4" fillId="0" borderId="10" xfId="0" applyNumberFormat="1" applyFont="1" applyBorder="1" applyAlignment="1">
      <alignment/>
    </xf>
    <xf numFmtId="37" fontId="5" fillId="0" borderId="0" xfId="0" applyNumberFormat="1" applyFont="1" applyBorder="1" applyAlignment="1">
      <alignment/>
    </xf>
    <xf numFmtId="37" fontId="4" fillId="0" borderId="0" xfId="0" applyNumberFormat="1" applyFont="1" applyBorder="1" applyAlignment="1">
      <alignment horizontal="right"/>
    </xf>
    <xf numFmtId="168" fontId="4" fillId="0" borderId="0" xfId="0" applyNumberFormat="1" applyFont="1" applyFill="1" applyBorder="1" applyAlignment="1">
      <alignment/>
    </xf>
    <xf numFmtId="165" fontId="4" fillId="0" borderId="8" xfId="0" applyNumberFormat="1" applyFont="1" applyBorder="1" applyAlignment="1">
      <alignment/>
    </xf>
    <xf numFmtId="37" fontId="6" fillId="0" borderId="0" xfId="0" applyNumberFormat="1" applyFont="1" applyBorder="1" applyAlignment="1">
      <alignment/>
    </xf>
    <xf numFmtId="37" fontId="4" fillId="0" borderId="13" xfId="0" applyNumberFormat="1" applyFont="1" applyBorder="1" applyAlignment="1">
      <alignment horizontal="right"/>
    </xf>
    <xf numFmtId="0" fontId="4" fillId="0" borderId="12" xfId="0" applyFont="1" applyBorder="1" applyAlignment="1">
      <alignment/>
    </xf>
    <xf numFmtId="168" fontId="4" fillId="0" borderId="0" xfId="0" applyNumberFormat="1" applyFont="1" applyBorder="1" applyAlignment="1">
      <alignment/>
    </xf>
    <xf numFmtId="37" fontId="4" fillId="0" borderId="13" xfId="0" applyNumberFormat="1" applyFont="1" applyBorder="1" applyAlignment="1">
      <alignment/>
    </xf>
    <xf numFmtId="2" fontId="4" fillId="0" borderId="0" xfId="0" applyNumberFormat="1" applyFont="1" applyBorder="1" applyAlignment="1">
      <alignment/>
    </xf>
    <xf numFmtId="182" fontId="4" fillId="0" borderId="0" xfId="0" applyNumberFormat="1" applyFont="1" applyBorder="1" applyAlignment="1">
      <alignment horizontal="right"/>
    </xf>
    <xf numFmtId="37" fontId="4" fillId="0" borderId="0" xfId="0" applyNumberFormat="1" applyFont="1" applyBorder="1" applyAlignment="1">
      <alignment horizontal="left"/>
    </xf>
    <xf numFmtId="168" fontId="4" fillId="0" borderId="0" xfId="0" applyNumberFormat="1" applyFont="1" applyFill="1" applyBorder="1" applyAlignment="1">
      <alignment horizontal="right"/>
    </xf>
    <xf numFmtId="37" fontId="4" fillId="0" borderId="12" xfId="0" applyNumberFormat="1" applyFont="1" applyBorder="1" applyAlignment="1">
      <alignment horizontal="right"/>
    </xf>
    <xf numFmtId="37" fontId="4" fillId="0" borderId="18" xfId="0" applyNumberFormat="1" applyFont="1" applyBorder="1" applyAlignment="1">
      <alignment horizontal="right"/>
    </xf>
    <xf numFmtId="168" fontId="4" fillId="0" borderId="0" xfId="0" applyNumberFormat="1" applyFont="1" applyAlignment="1">
      <alignment/>
    </xf>
    <xf numFmtId="37" fontId="4" fillId="0" borderId="8" xfId="0" applyNumberFormat="1" applyFont="1" applyBorder="1" applyAlignment="1">
      <alignment/>
    </xf>
    <xf numFmtId="168" fontId="4" fillId="0" borderId="0" xfId="0" applyNumberFormat="1" applyFont="1" applyBorder="1" applyAlignment="1">
      <alignment horizontal="right"/>
    </xf>
    <xf numFmtId="38" fontId="4" fillId="0" borderId="19" xfId="0" applyNumberFormat="1" applyFont="1" applyBorder="1" applyAlignment="1">
      <alignment/>
    </xf>
    <xf numFmtId="37" fontId="4" fillId="0" borderId="20" xfId="0" applyNumberFormat="1" applyFont="1" applyBorder="1" applyAlignment="1">
      <alignment/>
    </xf>
    <xf numFmtId="37" fontId="4" fillId="0" borderId="18" xfId="0" applyNumberFormat="1" applyFont="1" applyBorder="1" applyAlignment="1">
      <alignment/>
    </xf>
    <xf numFmtId="38" fontId="4" fillId="0" borderId="18" xfId="0" applyNumberFormat="1" applyFont="1" applyBorder="1" applyAlignment="1">
      <alignment/>
    </xf>
    <xf numFmtId="10" fontId="4" fillId="0" borderId="0" xfId="19" applyNumberFormat="1" applyFont="1" applyBorder="1" applyAlignment="1">
      <alignment horizontal="left"/>
    </xf>
    <xf numFmtId="38" fontId="4" fillId="0" borderId="0" xfId="0" applyNumberFormat="1" applyFont="1" applyFill="1" applyBorder="1" applyAlignment="1">
      <alignment/>
    </xf>
    <xf numFmtId="38" fontId="6" fillId="0" borderId="0" xfId="0" applyNumberFormat="1" applyFont="1" applyBorder="1" applyAlignment="1">
      <alignment/>
    </xf>
    <xf numFmtId="37" fontId="4" fillId="2" borderId="0" xfId="0" applyNumberFormat="1" applyFont="1" applyFill="1" applyBorder="1" applyAlignment="1">
      <alignment/>
    </xf>
    <xf numFmtId="0" fontId="4" fillId="2" borderId="0" xfId="0" applyFont="1" applyFill="1" applyAlignment="1">
      <alignment/>
    </xf>
    <xf numFmtId="37" fontId="4" fillId="2" borderId="8" xfId="0" applyNumberFormat="1" applyFont="1" applyFill="1" applyBorder="1" applyAlignment="1">
      <alignment/>
    </xf>
    <xf numFmtId="38" fontId="4" fillId="0" borderId="20" xfId="15" applyNumberFormat="1" applyFont="1" applyBorder="1" applyAlignment="1">
      <alignment/>
    </xf>
    <xf numFmtId="38" fontId="4" fillId="0" borderId="20" xfId="0" applyNumberFormat="1" applyFont="1" applyBorder="1" applyAlignment="1">
      <alignment/>
    </xf>
    <xf numFmtId="10" fontId="4" fillId="0" borderId="20" xfId="0" applyNumberFormat="1" applyFont="1" applyBorder="1" applyAlignment="1">
      <alignment/>
    </xf>
    <xf numFmtId="166" fontId="4" fillId="0" borderId="0" xfId="0" applyNumberFormat="1" applyFont="1" applyBorder="1" applyAlignment="1">
      <alignment horizontal="centerContinuous"/>
    </xf>
    <xf numFmtId="0" fontId="4" fillId="0" borderId="0" xfId="0" applyFont="1" applyAlignment="1">
      <alignment horizontal="centerContinuous"/>
    </xf>
    <xf numFmtId="37" fontId="4" fillId="0" borderId="0" xfId="0" applyNumberFormat="1" applyFont="1" applyBorder="1" applyAlignment="1">
      <alignment horizontal="centerContinuous"/>
    </xf>
    <xf numFmtId="165" fontId="4" fillId="0" borderId="0" xfId="0" applyNumberFormat="1" applyFont="1" applyBorder="1" applyAlignment="1">
      <alignment/>
    </xf>
    <xf numFmtId="10" fontId="4" fillId="0" borderId="20" xfId="0" applyNumberFormat="1" applyFont="1" applyBorder="1" applyAlignment="1">
      <alignment horizontal="right"/>
    </xf>
    <xf numFmtId="10" fontId="4" fillId="0" borderId="0" xfId="0" applyNumberFormat="1" applyFont="1" applyAlignment="1">
      <alignment horizontal="right"/>
    </xf>
    <xf numFmtId="37" fontId="4" fillId="0" borderId="20" xfId="0" applyNumberFormat="1" applyFont="1" applyBorder="1" applyAlignment="1">
      <alignment horizontal="right"/>
    </xf>
    <xf numFmtId="38" fontId="4" fillId="0" borderId="20" xfId="0" applyNumberFormat="1" applyFont="1" applyBorder="1" applyAlignment="1">
      <alignment horizontal="right"/>
    </xf>
    <xf numFmtId="37" fontId="4" fillId="0" borderId="0" xfId="0" applyNumberFormat="1" applyFont="1" applyAlignment="1">
      <alignment horizontal="right"/>
    </xf>
    <xf numFmtId="0" fontId="4" fillId="0" borderId="0" xfId="0" applyFont="1" applyAlignment="1">
      <alignment horizontal="right"/>
    </xf>
    <xf numFmtId="37" fontId="4" fillId="0" borderId="0" xfId="0" applyNumberFormat="1" applyFont="1" applyBorder="1" applyAlignment="1">
      <alignment horizontal="center"/>
    </xf>
    <xf numFmtId="37" fontId="4" fillId="0" borderId="13" xfId="0" applyNumberFormat="1" applyFont="1" applyBorder="1" applyAlignment="1">
      <alignment horizontal="center"/>
    </xf>
    <xf numFmtId="167" fontId="4" fillId="0" borderId="0" xfId="0" applyNumberFormat="1" applyFont="1" applyBorder="1" applyAlignment="1">
      <alignment/>
    </xf>
    <xf numFmtId="167" fontId="4" fillId="0" borderId="0" xfId="0" applyNumberFormat="1" applyFont="1" applyFill="1" applyBorder="1" applyAlignment="1">
      <alignment/>
    </xf>
    <xf numFmtId="167" fontId="4" fillId="0" borderId="0" xfId="0" applyNumberFormat="1" applyFont="1" applyBorder="1" applyAlignment="1">
      <alignment horizontal="right"/>
    </xf>
    <xf numFmtId="167" fontId="4" fillId="0" borderId="0" xfId="0" applyNumberFormat="1" applyFont="1" applyFill="1" applyBorder="1" applyAlignment="1">
      <alignment horizontal="right"/>
    </xf>
    <xf numFmtId="169" fontId="4" fillId="0" borderId="20" xfId="0" applyNumberFormat="1" applyFont="1" applyBorder="1" applyAlignment="1">
      <alignment horizontal="right"/>
    </xf>
    <xf numFmtId="169" fontId="4" fillId="0" borderId="0" xfId="0" applyNumberFormat="1" applyFont="1" applyAlignment="1">
      <alignment horizontal="right"/>
    </xf>
    <xf numFmtId="169" fontId="4" fillId="0" borderId="20" xfId="0" applyNumberFormat="1" applyFont="1" applyBorder="1" applyAlignment="1">
      <alignment/>
    </xf>
    <xf numFmtId="167" fontId="4" fillId="0" borderId="20" xfId="0" applyNumberFormat="1" applyFont="1" applyBorder="1" applyAlignment="1">
      <alignment horizontal="right"/>
    </xf>
    <xf numFmtId="167" fontId="4" fillId="0" borderId="0" xfId="0" applyNumberFormat="1" applyFont="1" applyAlignment="1">
      <alignment horizontal="right"/>
    </xf>
    <xf numFmtId="0" fontId="4" fillId="0" borderId="0" xfId="0" applyFont="1" applyAlignment="1">
      <alignment horizontal="center"/>
    </xf>
    <xf numFmtId="37" fontId="5" fillId="0" borderId="0" xfId="0" applyNumberFormat="1" applyFont="1" applyAlignment="1">
      <alignment/>
    </xf>
    <xf numFmtId="0" fontId="4" fillId="0" borderId="13" xfId="0" applyFont="1" applyBorder="1" applyAlignment="1">
      <alignment/>
    </xf>
    <xf numFmtId="9" fontId="4" fillId="0" borderId="0" xfId="19" applyFont="1" applyAlignment="1">
      <alignment/>
    </xf>
    <xf numFmtId="196" fontId="4" fillId="0" borderId="0" xfId="19" applyNumberFormat="1" applyFont="1" applyAlignment="1">
      <alignment/>
    </xf>
    <xf numFmtId="169" fontId="4" fillId="0" borderId="0" xfId="19" applyNumberFormat="1" applyFont="1" applyAlignment="1">
      <alignment/>
    </xf>
    <xf numFmtId="37" fontId="4" fillId="0" borderId="1" xfId="0" applyNumberFormat="1" applyFont="1" applyBorder="1" applyAlignment="1">
      <alignment/>
    </xf>
    <xf numFmtId="37" fontId="6" fillId="0" borderId="0" xfId="0" applyNumberFormat="1" applyFont="1" applyAlignment="1">
      <alignment/>
    </xf>
    <xf numFmtId="170" fontId="4" fillId="0" borderId="21" xfId="0" applyNumberFormat="1" applyFont="1" applyBorder="1" applyAlignment="1">
      <alignment horizontal="centerContinuous"/>
    </xf>
    <xf numFmtId="0" fontId="4" fillId="0" borderId="22" xfId="0" applyFont="1" applyFill="1" applyBorder="1" applyAlignment="1">
      <alignment horizontal="centerContinuous"/>
    </xf>
    <xf numFmtId="0" fontId="4" fillId="0" borderId="23" xfId="0" applyFont="1" applyFill="1" applyBorder="1" applyAlignment="1">
      <alignment horizontal="centerContinuous"/>
    </xf>
    <xf numFmtId="37" fontId="4" fillId="0" borderId="0" xfId="0" applyNumberFormat="1" applyFont="1" applyBorder="1" applyAlignment="1">
      <alignment/>
    </xf>
    <xf numFmtId="37" fontId="4" fillId="0" borderId="24" xfId="0" applyNumberFormat="1" applyFont="1" applyBorder="1" applyAlignment="1">
      <alignment horizontal="centerContinuous"/>
    </xf>
    <xf numFmtId="38" fontId="4" fillId="0" borderId="24" xfId="0" applyNumberFormat="1" applyFont="1" applyBorder="1" applyAlignment="1">
      <alignment horizontal="centerContinuous"/>
    </xf>
    <xf numFmtId="38" fontId="6" fillId="0" borderId="0" xfId="0" applyNumberFormat="1" applyFont="1" applyAlignment="1">
      <alignment/>
    </xf>
    <xf numFmtId="40" fontId="4" fillId="0" borderId="0" xfId="0" applyNumberFormat="1" applyFont="1" applyAlignment="1">
      <alignment/>
    </xf>
    <xf numFmtId="38" fontId="6" fillId="0" borderId="0" xfId="0" applyNumberFormat="1" applyFont="1" applyBorder="1" applyAlignment="1">
      <alignment horizontal="centerContinuous"/>
    </xf>
    <xf numFmtId="38" fontId="4" fillId="5" borderId="0" xfId="0" applyNumberFormat="1" applyFont="1" applyFill="1" applyBorder="1" applyAlignment="1">
      <alignment/>
    </xf>
    <xf numFmtId="38" fontId="4" fillId="0" borderId="0" xfId="0" applyNumberFormat="1" applyFont="1" applyBorder="1" applyAlignment="1">
      <alignment/>
    </xf>
    <xf numFmtId="37" fontId="6" fillId="0" borderId="8" xfId="0" applyNumberFormat="1" applyFont="1" applyBorder="1" applyAlignment="1">
      <alignment horizontal="center"/>
    </xf>
    <xf numFmtId="0" fontId="4" fillId="0" borderId="14" xfId="0" applyFont="1" applyBorder="1" applyAlignment="1">
      <alignment/>
    </xf>
    <xf numFmtId="168" fontId="4" fillId="0" borderId="0" xfId="0" applyNumberFormat="1" applyFont="1" applyAlignment="1">
      <alignment horizontal="right"/>
    </xf>
    <xf numFmtId="39" fontId="4" fillId="0" borderId="0" xfId="0" applyNumberFormat="1" applyFont="1" applyAlignment="1">
      <alignment horizontal="right"/>
    </xf>
    <xf numFmtId="170" fontId="4" fillId="0" borderId="25" xfId="0" applyNumberFormat="1" applyFont="1" applyBorder="1" applyAlignment="1">
      <alignment horizontal="centerContinuous"/>
    </xf>
    <xf numFmtId="0" fontId="4" fillId="0" borderId="26" xfId="0" applyFont="1" applyFill="1" applyBorder="1" applyAlignment="1">
      <alignment horizontal="centerContinuous"/>
    </xf>
    <xf numFmtId="0" fontId="4" fillId="0" borderId="27" xfId="0" applyFont="1" applyFill="1" applyBorder="1" applyAlignment="1">
      <alignment horizontal="centerContinuous"/>
    </xf>
    <xf numFmtId="18" fontId="4" fillId="4" borderId="28" xfId="0" applyNumberFormat="1" applyFont="1" applyFill="1" applyBorder="1" applyAlignment="1">
      <alignment horizontal="centerContinuous"/>
    </xf>
    <xf numFmtId="0" fontId="4" fillId="0" borderId="29" xfId="0" applyFont="1" applyFill="1" applyBorder="1" applyAlignment="1">
      <alignment horizontal="centerContinuous"/>
    </xf>
    <xf numFmtId="0" fontId="4" fillId="0" borderId="30" xfId="0" applyFont="1" applyFill="1" applyBorder="1" applyAlignment="1">
      <alignment horizontal="centerContinuous"/>
    </xf>
    <xf numFmtId="14" fontId="8" fillId="0" borderId="20" xfId="0" applyNumberFormat="1" applyFont="1" applyBorder="1" applyAlignment="1">
      <alignment/>
    </xf>
    <xf numFmtId="37" fontId="9" fillId="0" borderId="8" xfId="0" applyNumberFormat="1" applyFont="1" applyBorder="1" applyAlignment="1">
      <alignment/>
    </xf>
    <xf numFmtId="38" fontId="9" fillId="0" borderId="8" xfId="0" applyNumberFormat="1" applyFont="1" applyBorder="1" applyAlignment="1">
      <alignment/>
    </xf>
    <xf numFmtId="168" fontId="4" fillId="0" borderId="0" xfId="0" applyNumberFormat="1" applyFont="1" applyBorder="1" applyAlignment="1">
      <alignment horizontal="left"/>
    </xf>
    <xf numFmtId="38" fontId="4" fillId="0" borderId="31" xfId="0" applyNumberFormat="1" applyFont="1" applyBorder="1" applyAlignment="1">
      <alignment/>
    </xf>
    <xf numFmtId="10" fontId="4" fillId="0" borderId="20" xfId="19" applyNumberFormat="1" applyFont="1" applyBorder="1" applyAlignment="1">
      <alignment/>
    </xf>
    <xf numFmtId="175" fontId="4" fillId="0" borderId="0" xfId="0" applyNumberFormat="1" applyFont="1" applyAlignment="1">
      <alignment/>
    </xf>
    <xf numFmtId="176" fontId="4" fillId="0" borderId="0" xfId="0" applyNumberFormat="1" applyFont="1" applyAlignment="1">
      <alignment/>
    </xf>
    <xf numFmtId="177" fontId="4" fillId="0" borderId="0" xfId="0" applyNumberFormat="1" applyFont="1" applyBorder="1" applyAlignment="1">
      <alignment/>
    </xf>
    <xf numFmtId="40" fontId="4" fillId="0" borderId="0" xfId="15" applyFont="1" applyAlignment="1">
      <alignment/>
    </xf>
    <xf numFmtId="37" fontId="4" fillId="0" borderId="16" xfId="0" applyNumberFormat="1" applyFont="1" applyBorder="1" applyAlignment="1">
      <alignment horizontal="right"/>
    </xf>
    <xf numFmtId="37" fontId="5" fillId="0" borderId="14" xfId="0" applyNumberFormat="1" applyFont="1" applyBorder="1" applyAlignment="1">
      <alignment/>
    </xf>
    <xf numFmtId="0" fontId="9" fillId="0" borderId="14" xfId="0" applyFont="1" applyBorder="1" applyAlignment="1">
      <alignment/>
    </xf>
    <xf numFmtId="37" fontId="9" fillId="0" borderId="14" xfId="0" applyNumberFormat="1" applyFont="1" applyBorder="1" applyAlignment="1">
      <alignment/>
    </xf>
    <xf numFmtId="0" fontId="4" fillId="0" borderId="11" xfId="0" applyFont="1" applyBorder="1" applyAlignment="1">
      <alignment/>
    </xf>
    <xf numFmtId="37" fontId="4" fillId="0" borderId="14" xfId="0" applyNumberFormat="1" applyFont="1" applyBorder="1" applyAlignment="1">
      <alignment horizontal="right"/>
    </xf>
    <xf numFmtId="38" fontId="4" fillId="0" borderId="0" xfId="15" applyNumberFormat="1" applyFont="1" applyBorder="1" applyAlignment="1">
      <alignment/>
    </xf>
    <xf numFmtId="38" fontId="4" fillId="0" borderId="32" xfId="0" applyNumberFormat="1" applyFont="1" applyBorder="1" applyAlignment="1">
      <alignment/>
    </xf>
    <xf numFmtId="9" fontId="4" fillId="0" borderId="12" xfId="19" applyFont="1" applyBorder="1" applyAlignment="1">
      <alignment/>
    </xf>
    <xf numFmtId="169" fontId="4" fillId="0" borderId="12" xfId="19" applyNumberFormat="1" applyFont="1" applyBorder="1" applyAlignment="1">
      <alignment/>
    </xf>
    <xf numFmtId="165" fontId="4" fillId="0" borderId="0" xfId="0" applyNumberFormat="1" applyFont="1" applyBorder="1" applyAlignment="1">
      <alignment horizontal="right"/>
    </xf>
    <xf numFmtId="165" fontId="4" fillId="0" borderId="8" xfId="0" applyNumberFormat="1" applyFont="1" applyBorder="1" applyAlignment="1">
      <alignment horizontal="center"/>
    </xf>
    <xf numFmtId="37" fontId="6" fillId="0" borderId="24" xfId="0" applyNumberFormat="1" applyFont="1" applyBorder="1" applyAlignment="1">
      <alignment horizontal="centerContinuous"/>
    </xf>
    <xf numFmtId="38" fontId="7" fillId="0" borderId="0" xfId="0" applyNumberFormat="1" applyFont="1" applyBorder="1" applyAlignment="1">
      <alignment horizontal="center"/>
    </xf>
    <xf numFmtId="0" fontId="4" fillId="0" borderId="0" xfId="0" applyFont="1" applyBorder="1" applyAlignment="1">
      <alignment horizontal="right"/>
    </xf>
    <xf numFmtId="38" fontId="4" fillId="0" borderId="1" xfId="0" applyNumberFormat="1" applyFont="1" applyBorder="1" applyAlignment="1">
      <alignment/>
    </xf>
    <xf numFmtId="38" fontId="9" fillId="0" borderId="0" xfId="0" applyNumberFormat="1" applyFont="1" applyBorder="1" applyAlignment="1">
      <alignment/>
    </xf>
    <xf numFmtId="9" fontId="4" fillId="0" borderId="0" xfId="0" applyNumberFormat="1" applyFont="1" applyAlignment="1">
      <alignment/>
    </xf>
    <xf numFmtId="9" fontId="4" fillId="0" borderId="0" xfId="19" applyFont="1" applyAlignment="1">
      <alignment horizontal="right"/>
    </xf>
    <xf numFmtId="38" fontId="4" fillId="0" borderId="33" xfId="0" applyNumberFormat="1" applyFont="1" applyBorder="1" applyAlignment="1">
      <alignment/>
    </xf>
    <xf numFmtId="167" fontId="4" fillId="0" borderId="20" xfId="0" applyNumberFormat="1" applyFont="1" applyFill="1" applyBorder="1" applyAlignment="1">
      <alignment horizontal="right"/>
    </xf>
    <xf numFmtId="38" fontId="4" fillId="0" borderId="0" xfId="0" applyNumberFormat="1" applyFont="1" applyFill="1" applyAlignment="1">
      <alignment/>
    </xf>
    <xf numFmtId="38" fontId="4" fillId="0" borderId="13" xfId="0" applyNumberFormat="1" applyFont="1" applyFill="1" applyBorder="1" applyAlignment="1">
      <alignment/>
    </xf>
    <xf numFmtId="0" fontId="4" fillId="0" borderId="0" xfId="0" applyFont="1" applyFill="1" applyAlignment="1">
      <alignment/>
    </xf>
    <xf numFmtId="38" fontId="4" fillId="0" borderId="0" xfId="0" applyNumberFormat="1" applyFont="1" applyFill="1" applyBorder="1" applyAlignment="1">
      <alignment/>
    </xf>
    <xf numFmtId="38" fontId="6" fillId="0" borderId="0" xfId="0" applyNumberFormat="1" applyFont="1" applyFill="1" applyAlignment="1">
      <alignment/>
    </xf>
    <xf numFmtId="37" fontId="4" fillId="0" borderId="0" xfId="0" applyNumberFormat="1" applyFont="1" applyFill="1" applyBorder="1" applyAlignment="1">
      <alignment/>
    </xf>
    <xf numFmtId="167" fontId="4" fillId="0" borderId="0" xfId="0" applyNumberFormat="1" applyFont="1" applyFill="1" applyAlignment="1">
      <alignment horizontal="right"/>
    </xf>
    <xf numFmtId="38" fontId="4" fillId="0" borderId="19" xfId="0" applyNumberFormat="1" applyFont="1" applyFill="1" applyBorder="1" applyAlignment="1">
      <alignment/>
    </xf>
    <xf numFmtId="166" fontId="4" fillId="0" borderId="0" xfId="0" applyNumberFormat="1" applyFont="1" applyBorder="1" applyAlignment="1">
      <alignment horizontal="center"/>
    </xf>
    <xf numFmtId="38" fontId="4" fillId="0" borderId="11" xfId="0" applyNumberFormat="1" applyFont="1" applyFill="1" applyBorder="1" applyAlignment="1">
      <alignment/>
    </xf>
    <xf numFmtId="38" fontId="4" fillId="0" borderId="20" xfId="0" applyNumberFormat="1" applyFont="1" applyFill="1" applyBorder="1" applyAlignment="1">
      <alignment/>
    </xf>
    <xf numFmtId="38" fontId="4" fillId="0" borderId="12" xfId="0" applyNumberFormat="1" applyFont="1" applyFill="1" applyBorder="1" applyAlignment="1">
      <alignment/>
    </xf>
    <xf numFmtId="38" fontId="6" fillId="0" borderId="0" xfId="0" applyNumberFormat="1" applyFont="1" applyFill="1" applyBorder="1" applyAlignment="1">
      <alignment/>
    </xf>
    <xf numFmtId="165" fontId="4" fillId="0" borderId="0" xfId="0" applyNumberFormat="1" applyFont="1" applyFill="1" applyBorder="1" applyAlignment="1">
      <alignment/>
    </xf>
    <xf numFmtId="37" fontId="4" fillId="0" borderId="0" xfId="0" applyNumberFormat="1" applyFont="1" applyFill="1" applyBorder="1" applyAlignment="1">
      <alignment horizontal="right"/>
    </xf>
    <xf numFmtId="37" fontId="4" fillId="0" borderId="13" xfId="0" applyNumberFormat="1" applyFont="1" applyFill="1" applyBorder="1" applyAlignment="1">
      <alignment horizontal="right"/>
    </xf>
    <xf numFmtId="0" fontId="4" fillId="0" borderId="0" xfId="0" applyNumberFormat="1" applyFont="1" applyFill="1" applyBorder="1" applyAlignment="1">
      <alignment/>
    </xf>
    <xf numFmtId="8" fontId="4" fillId="0" borderId="0" xfId="0" applyNumberFormat="1" applyFont="1" applyAlignment="1">
      <alignment/>
    </xf>
    <xf numFmtId="165" fontId="4" fillId="0" borderId="13" xfId="0" applyNumberFormat="1" applyFont="1" applyBorder="1" applyAlignment="1">
      <alignment horizontal="center"/>
    </xf>
    <xf numFmtId="165" fontId="4" fillId="0" borderId="13" xfId="0" applyNumberFormat="1" applyFont="1" applyBorder="1" applyAlignment="1" quotePrefix="1">
      <alignment horizontal="center"/>
    </xf>
    <xf numFmtId="38" fontId="5" fillId="0" borderId="0" xfId="0" applyNumberFormat="1" applyFont="1" applyFill="1" applyBorder="1" applyAlignment="1">
      <alignment/>
    </xf>
    <xf numFmtId="38" fontId="4" fillId="0" borderId="20" xfId="15" applyNumberFormat="1" applyFont="1" applyFill="1" applyBorder="1" applyAlignment="1">
      <alignment/>
    </xf>
    <xf numFmtId="37" fontId="4" fillId="0" borderId="19" xfId="0" applyNumberFormat="1" applyFont="1" applyBorder="1" applyAlignment="1">
      <alignment/>
    </xf>
    <xf numFmtId="167" fontId="4" fillId="0" borderId="0" xfId="0" applyNumberFormat="1" applyFont="1" applyBorder="1" applyAlignment="1">
      <alignment horizontal="left"/>
    </xf>
    <xf numFmtId="49" fontId="4" fillId="0" borderId="0" xfId="0" applyNumberFormat="1" applyFont="1" applyBorder="1" applyAlignment="1">
      <alignment horizontal="center"/>
    </xf>
    <xf numFmtId="37" fontId="4" fillId="0" borderId="11" xfId="0" applyNumberFormat="1" applyFont="1" applyFill="1" applyBorder="1" applyAlignment="1">
      <alignment/>
    </xf>
    <xf numFmtId="37" fontId="4" fillId="0" borderId="12" xfId="0" applyNumberFormat="1" applyFont="1" applyFill="1" applyBorder="1" applyAlignment="1">
      <alignment/>
    </xf>
    <xf numFmtId="37" fontId="4" fillId="0" borderId="0" xfId="0" applyNumberFormat="1" applyFont="1" applyFill="1" applyAlignment="1">
      <alignment/>
    </xf>
    <xf numFmtId="37" fontId="6" fillId="0" borderId="0" xfId="0" applyNumberFormat="1" applyFont="1" applyFill="1" applyBorder="1" applyAlignment="1">
      <alignment/>
    </xf>
    <xf numFmtId="9" fontId="4" fillId="0" borderId="20" xfId="19" applyFont="1" applyFill="1" applyBorder="1" applyAlignment="1">
      <alignment horizontal="right"/>
    </xf>
    <xf numFmtId="37" fontId="4" fillId="0" borderId="9" xfId="0" applyNumberFormat="1" applyFont="1" applyBorder="1" applyAlignment="1">
      <alignment horizontal="center"/>
    </xf>
    <xf numFmtId="37" fontId="4" fillId="0" borderId="9" xfId="0" applyNumberFormat="1" applyFont="1" applyBorder="1" applyAlignment="1">
      <alignment horizontal="left"/>
    </xf>
    <xf numFmtId="9" fontId="4" fillId="0" borderId="20" xfId="19" applyFont="1" applyBorder="1" applyAlignment="1">
      <alignment horizontal="right"/>
    </xf>
    <xf numFmtId="38" fontId="4" fillId="0" borderId="20" xfId="15" applyNumberFormat="1" applyFont="1" applyBorder="1" applyAlignment="1">
      <alignment horizontal="right"/>
    </xf>
    <xf numFmtId="9" fontId="4" fillId="0" borderId="20" xfId="19" applyFont="1" applyBorder="1" applyAlignment="1">
      <alignment/>
    </xf>
    <xf numFmtId="38" fontId="4" fillId="5" borderId="13" xfId="0" applyNumberFormat="1" applyFont="1" applyFill="1" applyBorder="1" applyAlignment="1">
      <alignment/>
    </xf>
    <xf numFmtId="37" fontId="9" fillId="0" borderId="0" xfId="0" applyNumberFormat="1" applyFont="1" applyBorder="1" applyAlignment="1">
      <alignment/>
    </xf>
    <xf numFmtId="169" fontId="4" fillId="0" borderId="20" xfId="0" applyNumberFormat="1" applyFont="1" applyFill="1" applyBorder="1" applyAlignment="1">
      <alignment horizontal="right"/>
    </xf>
    <xf numFmtId="37" fontId="5" fillId="0" borderId="0" xfId="0" applyNumberFormat="1" applyFont="1" applyFill="1" applyBorder="1" applyAlignment="1">
      <alignment/>
    </xf>
    <xf numFmtId="165" fontId="4" fillId="0" borderId="0" xfId="0" applyNumberFormat="1" applyFont="1" applyBorder="1" applyAlignment="1">
      <alignment horizontal="center"/>
    </xf>
    <xf numFmtId="167" fontId="4" fillId="0" borderId="0" xfId="0" applyNumberFormat="1" applyFont="1" applyBorder="1" applyAlignment="1">
      <alignment horizontal="center"/>
    </xf>
    <xf numFmtId="0" fontId="4" fillId="0" borderId="0" xfId="0" applyNumberFormat="1" applyFont="1" applyBorder="1" applyAlignment="1">
      <alignment horizontal="center"/>
    </xf>
    <xf numFmtId="37" fontId="6" fillId="0" borderId="24" xfId="0" applyNumberFormat="1" applyFont="1" applyBorder="1" applyAlignment="1">
      <alignment horizontal="center"/>
    </xf>
    <xf numFmtId="187" fontId="4" fillId="0" borderId="0" xfId="0" applyNumberFormat="1" applyFont="1" applyAlignment="1">
      <alignment horizontal="center"/>
    </xf>
    <xf numFmtId="187" fontId="4" fillId="0" borderId="8" xfId="0" applyNumberFormat="1" applyFont="1" applyBorder="1" applyAlignment="1">
      <alignment horizontal="center"/>
    </xf>
    <xf numFmtId="37" fontId="4" fillId="0" borderId="0" xfId="0" applyNumberFormat="1" applyFont="1" applyAlignment="1">
      <alignment horizontal="center"/>
    </xf>
    <xf numFmtId="37" fontId="6" fillId="0" borderId="0" xfId="0" applyNumberFormat="1" applyFont="1" applyAlignment="1">
      <alignment/>
    </xf>
    <xf numFmtId="37" fontId="4" fillId="0" borderId="0" xfId="0" applyNumberFormat="1" applyFont="1" applyAlignment="1">
      <alignment/>
    </xf>
    <xf numFmtId="0" fontId="4" fillId="0" borderId="0" xfId="0" applyFont="1" applyAlignment="1">
      <alignment/>
    </xf>
    <xf numFmtId="37" fontId="4" fillId="0" borderId="24" xfId="0" applyNumberFormat="1" applyFont="1" applyBorder="1" applyAlignment="1">
      <alignment/>
    </xf>
    <xf numFmtId="37" fontId="6" fillId="0" borderId="24" xfId="0" applyNumberFormat="1" applyFont="1" applyBorder="1" applyAlignment="1">
      <alignment horizontal="left"/>
    </xf>
    <xf numFmtId="37" fontId="9" fillId="0" borderId="0" xfId="0" applyNumberFormat="1" applyFont="1" applyAlignment="1">
      <alignment/>
    </xf>
    <xf numFmtId="6" fontId="4" fillId="0" borderId="0" xfId="0" applyNumberFormat="1" applyFont="1" applyAlignment="1">
      <alignment/>
    </xf>
    <xf numFmtId="38" fontId="4" fillId="0" borderId="0" xfId="0" applyNumberFormat="1" applyFont="1" applyAlignment="1">
      <alignment horizontal="right"/>
    </xf>
    <xf numFmtId="39" fontId="4" fillId="0" borderId="0" xfId="0" applyNumberFormat="1" applyFont="1" applyBorder="1" applyAlignment="1">
      <alignment horizontal="right"/>
    </xf>
    <xf numFmtId="10" fontId="4" fillId="0" borderId="0" xfId="19" applyNumberFormat="1" applyFont="1" applyAlignment="1">
      <alignment/>
    </xf>
    <xf numFmtId="37" fontId="9" fillId="0" borderId="11" xfId="0" applyNumberFormat="1" applyFont="1" applyBorder="1" applyAlignment="1">
      <alignment/>
    </xf>
    <xf numFmtId="165" fontId="4" fillId="0" borderId="34" xfId="0" applyNumberFormat="1" applyFont="1" applyBorder="1" applyAlignment="1">
      <alignment/>
    </xf>
    <xf numFmtId="177" fontId="4" fillId="0" borderId="20" xfId="0" applyNumberFormat="1" applyFont="1" applyBorder="1" applyAlignment="1">
      <alignment/>
    </xf>
    <xf numFmtId="38" fontId="5" fillId="0" borderId="17" xfId="0" applyNumberFormat="1" applyFont="1" applyBorder="1" applyAlignment="1">
      <alignment horizontal="center"/>
    </xf>
    <xf numFmtId="37" fontId="5" fillId="0" borderId="17" xfId="0" applyNumberFormat="1" applyFont="1" applyBorder="1" applyAlignment="1">
      <alignment horizontal="center"/>
    </xf>
    <xf numFmtId="10" fontId="4" fillId="6" borderId="20" xfId="0" applyNumberFormat="1" applyFont="1" applyFill="1" applyBorder="1" applyAlignment="1">
      <alignment horizontal="right"/>
    </xf>
    <xf numFmtId="38" fontId="4" fillId="6" borderId="20" xfId="15" applyNumberFormat="1" applyFont="1" applyFill="1" applyBorder="1" applyAlignment="1">
      <alignment horizontal="right"/>
    </xf>
    <xf numFmtId="37" fontId="4" fillId="6" borderId="20" xfId="0" applyNumberFormat="1" applyFont="1" applyFill="1" applyBorder="1" applyAlignment="1">
      <alignment horizontal="right"/>
    </xf>
    <xf numFmtId="167" fontId="4" fillId="6" borderId="20" xfId="0" applyNumberFormat="1" applyFont="1" applyFill="1" applyBorder="1" applyAlignment="1">
      <alignment horizontal="right"/>
    </xf>
    <xf numFmtId="9" fontId="4" fillId="6" borderId="20" xfId="19" applyFont="1" applyFill="1" applyBorder="1" applyAlignment="1">
      <alignment horizontal="right"/>
    </xf>
    <xf numFmtId="169" fontId="4" fillId="6" borderId="20" xfId="0" applyNumberFormat="1" applyFont="1" applyFill="1" applyBorder="1" applyAlignment="1">
      <alignment horizontal="right"/>
    </xf>
    <xf numFmtId="38" fontId="4" fillId="6" borderId="20" xfId="0" applyNumberFormat="1" applyFont="1" applyFill="1" applyBorder="1" applyAlignment="1">
      <alignment horizontal="right"/>
    </xf>
    <xf numFmtId="0" fontId="4" fillId="0" borderId="0" xfId="0" applyFont="1" applyBorder="1" applyAlignment="1">
      <alignment horizontal="center"/>
    </xf>
    <xf numFmtId="8" fontId="4" fillId="0" borderId="20" xfId="17" applyFont="1" applyBorder="1" applyAlignment="1">
      <alignment horizontal="right"/>
    </xf>
    <xf numFmtId="8" fontId="4" fillId="0" borderId="20" xfId="17" applyFont="1" applyBorder="1" applyAlignment="1">
      <alignment/>
    </xf>
    <xf numFmtId="170" fontId="4" fillId="0" borderId="35" xfId="0" applyNumberFormat="1" applyFont="1" applyBorder="1" applyAlignment="1">
      <alignment horizontal="centerContinuous"/>
    </xf>
    <xf numFmtId="0" fontId="4" fillId="0" borderId="36" xfId="0" applyFont="1" applyFill="1" applyBorder="1" applyAlignment="1">
      <alignment horizontal="centerContinuous"/>
    </xf>
    <xf numFmtId="0" fontId="4" fillId="0" borderId="37" xfId="0" applyFont="1" applyFill="1" applyBorder="1" applyAlignment="1">
      <alignment horizontal="centerContinuous"/>
    </xf>
    <xf numFmtId="18" fontId="4" fillId="4" borderId="38" xfId="0" applyNumberFormat="1" applyFont="1" applyFill="1" applyBorder="1" applyAlignment="1">
      <alignment horizontal="centerContinuous"/>
    </xf>
    <xf numFmtId="0" fontId="4" fillId="0" borderId="39" xfId="0" applyFont="1" applyFill="1" applyBorder="1" applyAlignment="1">
      <alignment horizontal="centerContinuous"/>
    </xf>
    <xf numFmtId="0" fontId="4" fillId="0" borderId="40" xfId="0" applyFont="1" applyFill="1" applyBorder="1" applyAlignment="1">
      <alignment horizontal="centerContinuous"/>
    </xf>
    <xf numFmtId="38" fontId="4" fillId="0" borderId="8" xfId="0" applyNumberFormat="1" applyFont="1" applyFill="1" applyBorder="1" applyAlignment="1">
      <alignment/>
    </xf>
    <xf numFmtId="18" fontId="4" fillId="4" borderId="41" xfId="0" applyNumberFormat="1" applyFont="1" applyFill="1" applyBorder="1" applyAlignment="1">
      <alignment horizontal="centerContinuous"/>
    </xf>
    <xf numFmtId="0" fontId="4" fillId="0" borderId="0" xfId="0" applyFont="1" applyFill="1" applyBorder="1" applyAlignment="1">
      <alignment horizontal="centerContinuous"/>
    </xf>
    <xf numFmtId="0" fontId="4" fillId="0" borderId="42" xfId="0" applyFont="1" applyFill="1" applyBorder="1" applyAlignment="1">
      <alignment horizontal="centerContinuous"/>
    </xf>
    <xf numFmtId="38" fontId="9" fillId="0" borderId="14" xfId="0" applyNumberFormat="1" applyFont="1" applyBorder="1" applyAlignment="1">
      <alignment/>
    </xf>
    <xf numFmtId="0" fontId="10" fillId="0" borderId="0" xfId="0" applyFont="1" applyAlignment="1">
      <alignment/>
    </xf>
    <xf numFmtId="0" fontId="11" fillId="0" borderId="0" xfId="0" applyFont="1" applyAlignment="1">
      <alignment/>
    </xf>
    <xf numFmtId="0" fontId="10" fillId="0" borderId="0" xfId="0" applyFont="1" applyAlignment="1">
      <alignment wrapText="1"/>
    </xf>
    <xf numFmtId="0" fontId="0" fillId="0" borderId="0" xfId="0" applyAlignment="1">
      <alignment wrapText="1"/>
    </xf>
    <xf numFmtId="0" fontId="10" fillId="0" borderId="0" xfId="0" applyFont="1" applyAlignment="1">
      <alignment horizontal="left" vertical="top" wrapText="1"/>
    </xf>
    <xf numFmtId="0" fontId="0" fillId="0" borderId="0" xfId="0" applyAlignment="1">
      <alignment horizontal="left" vertical="top" wrapText="1"/>
    </xf>
    <xf numFmtId="0" fontId="12" fillId="0" borderId="0" xfId="0" applyFont="1" applyAlignment="1">
      <alignment/>
    </xf>
    <xf numFmtId="0" fontId="13" fillId="0" borderId="0" xfId="0" applyFont="1" applyAlignment="1">
      <alignment/>
    </xf>
    <xf numFmtId="0" fontId="2" fillId="0" borderId="0" xfId="0" applyFont="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5</xdr:row>
      <xdr:rowOff>0</xdr:rowOff>
    </xdr:from>
    <xdr:to>
      <xdr:col>10</xdr:col>
      <xdr:colOff>0</xdr:colOff>
      <xdr:row>5</xdr:row>
      <xdr:rowOff>0</xdr:rowOff>
    </xdr:to>
    <xdr:sp>
      <xdr:nvSpPr>
        <xdr:cNvPr id="1" name="Rectangle 4"/>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18</xdr:col>
      <xdr:colOff>0</xdr:colOff>
      <xdr:row>5</xdr:row>
      <xdr:rowOff>0</xdr:rowOff>
    </xdr:from>
    <xdr:to>
      <xdr:col>19</xdr:col>
      <xdr:colOff>0</xdr:colOff>
      <xdr:row>5</xdr:row>
      <xdr:rowOff>0</xdr:rowOff>
    </xdr:to>
    <xdr:sp>
      <xdr:nvSpPr>
        <xdr:cNvPr id="2" name="Rectangle 8"/>
        <xdr:cNvSpPr>
          <a:spLocks/>
        </xdr:cNvSpPr>
      </xdr:nvSpPr>
      <xdr:spPr>
        <a:xfrm>
          <a:off x="1109662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5</xdr:row>
      <xdr:rowOff>0</xdr:rowOff>
    </xdr:from>
    <xdr:to>
      <xdr:col>10</xdr:col>
      <xdr:colOff>0</xdr:colOff>
      <xdr:row>5</xdr:row>
      <xdr:rowOff>0</xdr:rowOff>
    </xdr:to>
    <xdr:sp>
      <xdr:nvSpPr>
        <xdr:cNvPr id="3" name="Rectangle 10"/>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5</xdr:row>
      <xdr:rowOff>0</xdr:rowOff>
    </xdr:from>
    <xdr:to>
      <xdr:col>10</xdr:col>
      <xdr:colOff>0</xdr:colOff>
      <xdr:row>5</xdr:row>
      <xdr:rowOff>0</xdr:rowOff>
    </xdr:to>
    <xdr:sp>
      <xdr:nvSpPr>
        <xdr:cNvPr id="4" name="Rectangle 11"/>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5</xdr:row>
      <xdr:rowOff>0</xdr:rowOff>
    </xdr:from>
    <xdr:to>
      <xdr:col>10</xdr:col>
      <xdr:colOff>0</xdr:colOff>
      <xdr:row>5</xdr:row>
      <xdr:rowOff>0</xdr:rowOff>
    </xdr:to>
    <xdr:sp>
      <xdr:nvSpPr>
        <xdr:cNvPr id="5" name="Rectangle 12"/>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5</xdr:row>
      <xdr:rowOff>0</xdr:rowOff>
    </xdr:from>
    <xdr:to>
      <xdr:col>10</xdr:col>
      <xdr:colOff>0</xdr:colOff>
      <xdr:row>5</xdr:row>
      <xdr:rowOff>0</xdr:rowOff>
    </xdr:to>
    <xdr:sp>
      <xdr:nvSpPr>
        <xdr:cNvPr id="6" name="Rectangle 13"/>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9</xdr:col>
      <xdr:colOff>0</xdr:colOff>
      <xdr:row>5</xdr:row>
      <xdr:rowOff>0</xdr:rowOff>
    </xdr:from>
    <xdr:to>
      <xdr:col>10</xdr:col>
      <xdr:colOff>0</xdr:colOff>
      <xdr:row>5</xdr:row>
      <xdr:rowOff>0</xdr:rowOff>
    </xdr:to>
    <xdr:sp>
      <xdr:nvSpPr>
        <xdr:cNvPr id="7" name="Rectangle 14"/>
        <xdr:cNvSpPr>
          <a:spLocks/>
        </xdr:cNvSpPr>
      </xdr:nvSpPr>
      <xdr:spPr>
        <a:xfrm>
          <a:off x="4067175" y="657225"/>
          <a:ext cx="78105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M60"/>
  <sheetViews>
    <sheetView tabSelected="1" workbookViewId="0" topLeftCell="A1">
      <selection activeCell="A2" sqref="A2"/>
    </sheetView>
  </sheetViews>
  <sheetFormatPr defaultColWidth="9.00390625" defaultRowHeight="12.75"/>
  <sheetData>
    <row r="1" ht="18.75">
      <c r="A1" s="235" t="s">
        <v>222</v>
      </c>
    </row>
    <row r="2" ht="15.75">
      <c r="A2" s="234"/>
    </row>
    <row r="3" spans="1:13" ht="12.75">
      <c r="A3" s="236" t="s">
        <v>223</v>
      </c>
      <c r="B3" s="237"/>
      <c r="C3" s="237"/>
      <c r="D3" s="237"/>
      <c r="E3" s="237"/>
      <c r="F3" s="237"/>
      <c r="G3" s="237"/>
      <c r="H3" s="237"/>
      <c r="I3" s="237"/>
      <c r="J3" s="237"/>
      <c r="K3" s="237"/>
      <c r="L3" s="237"/>
      <c r="M3" s="237"/>
    </row>
    <row r="4" spans="1:13" ht="12.75">
      <c r="A4" s="237"/>
      <c r="B4" s="237"/>
      <c r="C4" s="237"/>
      <c r="D4" s="237"/>
      <c r="E4" s="237"/>
      <c r="F4" s="237"/>
      <c r="G4" s="237"/>
      <c r="H4" s="237"/>
      <c r="I4" s="237"/>
      <c r="J4" s="237"/>
      <c r="K4" s="237"/>
      <c r="L4" s="237"/>
      <c r="M4" s="237"/>
    </row>
    <row r="5" spans="1:13" ht="12.75">
      <c r="A5" s="237"/>
      <c r="B5" s="237"/>
      <c r="C5" s="237"/>
      <c r="D5" s="237"/>
      <c r="E5" s="237"/>
      <c r="F5" s="237"/>
      <c r="G5" s="237"/>
      <c r="H5" s="237"/>
      <c r="I5" s="237"/>
      <c r="J5" s="237"/>
      <c r="K5" s="237"/>
      <c r="L5" s="237"/>
      <c r="M5" s="237"/>
    </row>
    <row r="6" spans="1:13" ht="12.75">
      <c r="A6" s="237"/>
      <c r="B6" s="237"/>
      <c r="C6" s="237"/>
      <c r="D6" s="237"/>
      <c r="E6" s="237"/>
      <c r="F6" s="237"/>
      <c r="G6" s="237"/>
      <c r="H6" s="237"/>
      <c r="I6" s="237"/>
      <c r="J6" s="237"/>
      <c r="K6" s="237"/>
      <c r="L6" s="237"/>
      <c r="M6" s="237"/>
    </row>
    <row r="7" spans="1:13" ht="12.75">
      <c r="A7" s="237"/>
      <c r="B7" s="237"/>
      <c r="C7" s="237"/>
      <c r="D7" s="237"/>
      <c r="E7" s="237"/>
      <c r="F7" s="237"/>
      <c r="G7" s="237"/>
      <c r="H7" s="237"/>
      <c r="I7" s="237"/>
      <c r="J7" s="237"/>
      <c r="K7" s="237"/>
      <c r="L7" s="237"/>
      <c r="M7" s="237"/>
    </row>
    <row r="8" spans="1:13" ht="12.75">
      <c r="A8" s="237"/>
      <c r="B8" s="237"/>
      <c r="C8" s="237"/>
      <c r="D8" s="237"/>
      <c r="E8" s="237"/>
      <c r="F8" s="237"/>
      <c r="G8" s="237"/>
      <c r="H8" s="237"/>
      <c r="I8" s="237"/>
      <c r="J8" s="237"/>
      <c r="K8" s="237"/>
      <c r="L8" s="237"/>
      <c r="M8" s="237"/>
    </row>
    <row r="9" spans="1:13" ht="12.75">
      <c r="A9" s="237"/>
      <c r="B9" s="237"/>
      <c r="C9" s="237"/>
      <c r="D9" s="237"/>
      <c r="E9" s="237"/>
      <c r="F9" s="237"/>
      <c r="G9" s="237"/>
      <c r="H9" s="237"/>
      <c r="I9" s="237"/>
      <c r="J9" s="237"/>
      <c r="K9" s="237"/>
      <c r="L9" s="237"/>
      <c r="M9" s="237"/>
    </row>
    <row r="10" spans="1:13" ht="12.75">
      <c r="A10" s="237"/>
      <c r="B10" s="237"/>
      <c r="C10" s="237"/>
      <c r="D10" s="237"/>
      <c r="E10" s="237"/>
      <c r="F10" s="237"/>
      <c r="G10" s="237"/>
      <c r="H10" s="237"/>
      <c r="I10" s="237"/>
      <c r="J10" s="237"/>
      <c r="K10" s="237"/>
      <c r="L10" s="237"/>
      <c r="M10" s="237"/>
    </row>
    <row r="11" spans="1:13" ht="12.75">
      <c r="A11" s="237"/>
      <c r="B11" s="237"/>
      <c r="C11" s="237"/>
      <c r="D11" s="237"/>
      <c r="E11" s="237"/>
      <c r="F11" s="237"/>
      <c r="G11" s="237"/>
      <c r="H11" s="237"/>
      <c r="I11" s="237"/>
      <c r="J11" s="237"/>
      <c r="K11" s="237"/>
      <c r="L11" s="237"/>
      <c r="M11" s="237"/>
    </row>
    <row r="12" spans="1:13" ht="12.75">
      <c r="A12" s="237"/>
      <c r="B12" s="237"/>
      <c r="C12" s="237"/>
      <c r="D12" s="237"/>
      <c r="E12" s="237"/>
      <c r="F12" s="237"/>
      <c r="G12" s="237"/>
      <c r="H12" s="237"/>
      <c r="I12" s="237"/>
      <c r="J12" s="237"/>
      <c r="K12" s="237"/>
      <c r="L12" s="237"/>
      <c r="M12" s="237"/>
    </row>
    <row r="14" spans="1:13" ht="12.75">
      <c r="A14" s="238" t="s">
        <v>224</v>
      </c>
      <c r="B14" s="239"/>
      <c r="C14" s="239"/>
      <c r="D14" s="239"/>
      <c r="E14" s="239"/>
      <c r="F14" s="239"/>
      <c r="G14" s="239"/>
      <c r="H14" s="239"/>
      <c r="I14" s="239"/>
      <c r="J14" s="239"/>
      <c r="K14" s="239"/>
      <c r="L14" s="239"/>
      <c r="M14" s="239"/>
    </row>
    <row r="15" spans="1:13" ht="12.75">
      <c r="A15" s="239"/>
      <c r="B15" s="239"/>
      <c r="C15" s="239"/>
      <c r="D15" s="239"/>
      <c r="E15" s="239"/>
      <c r="F15" s="239"/>
      <c r="G15" s="239"/>
      <c r="H15" s="239"/>
      <c r="I15" s="239"/>
      <c r="J15" s="239"/>
      <c r="K15" s="239"/>
      <c r="L15" s="239"/>
      <c r="M15" s="239"/>
    </row>
    <row r="16" spans="1:13" ht="12.75">
      <c r="A16" s="239"/>
      <c r="B16" s="239"/>
      <c r="C16" s="239"/>
      <c r="D16" s="239"/>
      <c r="E16" s="239"/>
      <c r="F16" s="239"/>
      <c r="G16" s="239"/>
      <c r="H16" s="239"/>
      <c r="I16" s="239"/>
      <c r="J16" s="239"/>
      <c r="K16" s="239"/>
      <c r="L16" s="239"/>
      <c r="M16" s="239"/>
    </row>
    <row r="17" spans="1:13" ht="12.75">
      <c r="A17" s="239"/>
      <c r="B17" s="239"/>
      <c r="C17" s="239"/>
      <c r="D17" s="239"/>
      <c r="E17" s="239"/>
      <c r="F17" s="239"/>
      <c r="G17" s="239"/>
      <c r="H17" s="239"/>
      <c r="I17" s="239"/>
      <c r="J17" s="239"/>
      <c r="K17" s="239"/>
      <c r="L17" s="239"/>
      <c r="M17" s="239"/>
    </row>
    <row r="18" spans="1:13" ht="12.75">
      <c r="A18" s="239"/>
      <c r="B18" s="239"/>
      <c r="C18" s="239"/>
      <c r="D18" s="239"/>
      <c r="E18" s="239"/>
      <c r="F18" s="239"/>
      <c r="G18" s="239"/>
      <c r="H18" s="239"/>
      <c r="I18" s="239"/>
      <c r="J18" s="239"/>
      <c r="K18" s="239"/>
      <c r="L18" s="239"/>
      <c r="M18" s="239"/>
    </row>
    <row r="19" spans="1:13" ht="12.75">
      <c r="A19" s="239"/>
      <c r="B19" s="239"/>
      <c r="C19" s="239"/>
      <c r="D19" s="239"/>
      <c r="E19" s="239"/>
      <c r="F19" s="239"/>
      <c r="G19" s="239"/>
      <c r="H19" s="239"/>
      <c r="I19" s="239"/>
      <c r="J19" s="239"/>
      <c r="K19" s="239"/>
      <c r="L19" s="239"/>
      <c r="M19" s="239"/>
    </row>
    <row r="20" spans="1:13" ht="12.75">
      <c r="A20" s="239"/>
      <c r="B20" s="239"/>
      <c r="C20" s="239"/>
      <c r="D20" s="239"/>
      <c r="E20" s="239"/>
      <c r="F20" s="239"/>
      <c r="G20" s="239"/>
      <c r="H20" s="239"/>
      <c r="I20" s="239"/>
      <c r="J20" s="239"/>
      <c r="K20" s="239"/>
      <c r="L20" s="239"/>
      <c r="M20" s="239"/>
    </row>
    <row r="21" spans="1:13" ht="12.75">
      <c r="A21" s="239"/>
      <c r="B21" s="239"/>
      <c r="C21" s="239"/>
      <c r="D21" s="239"/>
      <c r="E21" s="239"/>
      <c r="F21" s="239"/>
      <c r="G21" s="239"/>
      <c r="H21" s="239"/>
      <c r="I21" s="239"/>
      <c r="J21" s="239"/>
      <c r="K21" s="239"/>
      <c r="L21" s="239"/>
      <c r="M21" s="239"/>
    </row>
    <row r="23" ht="12.75">
      <c r="A23" s="240" t="s">
        <v>245</v>
      </c>
    </row>
    <row r="24" ht="15.75">
      <c r="A24" s="241" t="s">
        <v>225</v>
      </c>
    </row>
    <row r="25" ht="15.75">
      <c r="A25" s="234" t="s">
        <v>226</v>
      </c>
    </row>
    <row r="26" ht="15.75">
      <c r="A26" s="234" t="s">
        <v>227</v>
      </c>
    </row>
    <row r="27" ht="15.75">
      <c r="A27" s="241" t="s">
        <v>8</v>
      </c>
    </row>
    <row r="28" ht="15.75">
      <c r="A28" s="234" t="s">
        <v>228</v>
      </c>
    </row>
    <row r="29" ht="15.75">
      <c r="A29" s="234" t="s">
        <v>229</v>
      </c>
    </row>
    <row r="30" ht="15.75">
      <c r="A30" s="241" t="s">
        <v>70</v>
      </c>
    </row>
    <row r="31" ht="15.75">
      <c r="A31" s="234" t="s">
        <v>230</v>
      </c>
    </row>
    <row r="32" ht="15.75">
      <c r="A32" s="234" t="s">
        <v>231</v>
      </c>
    </row>
    <row r="33" ht="15.75">
      <c r="A33" s="234" t="s">
        <v>232</v>
      </c>
    </row>
    <row r="34" s="242" customFormat="1" ht="15.75">
      <c r="A34" s="241" t="s">
        <v>233</v>
      </c>
    </row>
    <row r="35" spans="1:13" ht="15" customHeight="1">
      <c r="A35" s="236" t="s">
        <v>234</v>
      </c>
      <c r="B35" s="237"/>
      <c r="C35" s="237"/>
      <c r="D35" s="237"/>
      <c r="E35" s="237"/>
      <c r="F35" s="237"/>
      <c r="G35" s="237"/>
      <c r="H35" s="237"/>
      <c r="I35" s="237"/>
      <c r="J35" s="237"/>
      <c r="K35" s="237"/>
      <c r="L35" s="237"/>
      <c r="M35" s="237"/>
    </row>
    <row r="36" spans="1:13" ht="15.75" customHeight="1">
      <c r="A36" s="237"/>
      <c r="B36" s="237"/>
      <c r="C36" s="237"/>
      <c r="D36" s="237"/>
      <c r="E36" s="237"/>
      <c r="F36" s="237"/>
      <c r="G36" s="237"/>
      <c r="H36" s="237"/>
      <c r="I36" s="237"/>
      <c r="J36" s="237"/>
      <c r="K36" s="237"/>
      <c r="L36" s="237"/>
      <c r="M36" s="237"/>
    </row>
    <row r="37" spans="1:13" ht="15.75" customHeight="1">
      <c r="A37" s="236" t="s">
        <v>235</v>
      </c>
      <c r="B37" s="237"/>
      <c r="C37" s="237"/>
      <c r="D37" s="237"/>
      <c r="E37" s="237"/>
      <c r="F37" s="237"/>
      <c r="G37" s="237"/>
      <c r="H37" s="237"/>
      <c r="I37" s="237"/>
      <c r="J37" s="237"/>
      <c r="K37" s="237"/>
      <c r="L37" s="237"/>
      <c r="M37" s="237"/>
    </row>
    <row r="38" spans="1:13" ht="15.75" customHeight="1">
      <c r="A38" s="237"/>
      <c r="B38" s="237"/>
      <c r="C38" s="237"/>
      <c r="D38" s="237"/>
      <c r="E38" s="237"/>
      <c r="F38" s="237"/>
      <c r="G38" s="237"/>
      <c r="H38" s="237"/>
      <c r="I38" s="237"/>
      <c r="J38" s="237"/>
      <c r="K38" s="237"/>
      <c r="L38" s="237"/>
      <c r="M38" s="237"/>
    </row>
    <row r="39" spans="1:13" ht="16.5" customHeight="1">
      <c r="A39" s="236" t="s">
        <v>236</v>
      </c>
      <c r="B39" s="237"/>
      <c r="C39" s="237"/>
      <c r="D39" s="237"/>
      <c r="E39" s="237"/>
      <c r="F39" s="237"/>
      <c r="G39" s="237"/>
      <c r="H39" s="237"/>
      <c r="I39" s="237"/>
      <c r="J39" s="237"/>
      <c r="K39" s="237"/>
      <c r="L39" s="237"/>
      <c r="M39" s="237"/>
    </row>
    <row r="40" spans="1:13" ht="15" customHeight="1">
      <c r="A40" s="237"/>
      <c r="B40" s="237"/>
      <c r="C40" s="237"/>
      <c r="D40" s="237"/>
      <c r="E40" s="237"/>
      <c r="F40" s="237"/>
      <c r="G40" s="237"/>
      <c r="H40" s="237"/>
      <c r="I40" s="237"/>
      <c r="J40" s="237"/>
      <c r="K40" s="237"/>
      <c r="L40" s="237"/>
      <c r="M40" s="237"/>
    </row>
    <row r="41" spans="1:13" ht="18.75" customHeight="1">
      <c r="A41" s="237"/>
      <c r="B41" s="237"/>
      <c r="C41" s="237"/>
      <c r="D41" s="237"/>
      <c r="E41" s="237"/>
      <c r="F41" s="237"/>
      <c r="G41" s="237"/>
      <c r="H41" s="237"/>
      <c r="I41" s="237"/>
      <c r="J41" s="237"/>
      <c r="K41" s="237"/>
      <c r="L41" s="237"/>
      <c r="M41" s="237"/>
    </row>
    <row r="42" spans="1:13" ht="12.75">
      <c r="A42" s="236" t="s">
        <v>237</v>
      </c>
      <c r="B42" s="237"/>
      <c r="C42" s="237"/>
      <c r="D42" s="237"/>
      <c r="E42" s="237"/>
      <c r="F42" s="237"/>
      <c r="G42" s="237"/>
      <c r="H42" s="237"/>
      <c r="I42" s="237"/>
      <c r="J42" s="237"/>
      <c r="K42" s="237"/>
      <c r="L42" s="237"/>
      <c r="M42" s="237"/>
    </row>
    <row r="43" spans="1:13" ht="12.75">
      <c r="A43" s="237"/>
      <c r="B43" s="237"/>
      <c r="C43" s="237"/>
      <c r="D43" s="237"/>
      <c r="E43" s="237"/>
      <c r="F43" s="237"/>
      <c r="G43" s="237"/>
      <c r="H43" s="237"/>
      <c r="I43" s="237"/>
      <c r="J43" s="237"/>
      <c r="K43" s="237"/>
      <c r="L43" s="237"/>
      <c r="M43" s="237"/>
    </row>
    <row r="44" spans="1:13" ht="12.75">
      <c r="A44" s="237"/>
      <c r="B44" s="237"/>
      <c r="C44" s="237"/>
      <c r="D44" s="237"/>
      <c r="E44" s="237"/>
      <c r="F44" s="237"/>
      <c r="G44" s="237"/>
      <c r="H44" s="237"/>
      <c r="I44" s="237"/>
      <c r="J44" s="237"/>
      <c r="K44" s="237"/>
      <c r="L44" s="237"/>
      <c r="M44" s="237"/>
    </row>
    <row r="45" spans="1:13" ht="12.75">
      <c r="A45" s="237"/>
      <c r="B45" s="237"/>
      <c r="C45" s="237"/>
      <c r="D45" s="237"/>
      <c r="E45" s="237"/>
      <c r="F45" s="237"/>
      <c r="G45" s="237"/>
      <c r="H45" s="237"/>
      <c r="I45" s="237"/>
      <c r="J45" s="237"/>
      <c r="K45" s="237"/>
      <c r="L45" s="237"/>
      <c r="M45" s="237"/>
    </row>
    <row r="46" spans="1:13" ht="12.75">
      <c r="A46" s="237"/>
      <c r="B46" s="237"/>
      <c r="C46" s="237"/>
      <c r="D46" s="237"/>
      <c r="E46" s="237"/>
      <c r="F46" s="237"/>
      <c r="G46" s="237"/>
      <c r="H46" s="237"/>
      <c r="I46" s="237"/>
      <c r="J46" s="237"/>
      <c r="K46" s="237"/>
      <c r="L46" s="237"/>
      <c r="M46" s="237"/>
    </row>
    <row r="47" ht="15.75">
      <c r="A47" s="234" t="s">
        <v>238</v>
      </c>
    </row>
    <row r="48" ht="15.75">
      <c r="A48" s="234"/>
    </row>
    <row r="49" ht="15.75">
      <c r="A49" s="234" t="s">
        <v>125</v>
      </c>
    </row>
    <row r="50" ht="15.75">
      <c r="A50" s="234" t="s">
        <v>92</v>
      </c>
    </row>
    <row r="51" ht="15.75">
      <c r="A51" s="234" t="s">
        <v>239</v>
      </c>
    </row>
    <row r="52" ht="15.75">
      <c r="A52" s="234" t="s">
        <v>240</v>
      </c>
    </row>
    <row r="53" ht="15.75">
      <c r="A53" s="234"/>
    </row>
    <row r="54" ht="15.75">
      <c r="A54" s="234" t="s">
        <v>241</v>
      </c>
    </row>
    <row r="55" ht="15.75">
      <c r="A55" s="234" t="s">
        <v>242</v>
      </c>
    </row>
    <row r="56" ht="15.75">
      <c r="A56" s="234" t="s">
        <v>243</v>
      </c>
    </row>
    <row r="57" ht="15.75">
      <c r="A57" s="234" t="s">
        <v>242</v>
      </c>
    </row>
    <row r="58" ht="15.75">
      <c r="A58" s="234" t="s">
        <v>244</v>
      </c>
    </row>
    <row r="59" ht="15.75">
      <c r="A59" s="234" t="s">
        <v>242</v>
      </c>
    </row>
    <row r="60" ht="15.75">
      <c r="A60" s="234"/>
    </row>
  </sheetData>
  <mergeCells count="6">
    <mergeCell ref="A37:M38"/>
    <mergeCell ref="A39:M41"/>
    <mergeCell ref="A42:M46"/>
    <mergeCell ref="A3:M12"/>
    <mergeCell ref="A14:M21"/>
    <mergeCell ref="A35:M36"/>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A182"/>
  <sheetViews>
    <sheetView showGridLines="0" zoomScale="75" zoomScaleNormal="75" workbookViewId="0" topLeftCell="A1">
      <pane xSplit="7" ySplit="3" topLeftCell="H4" activePane="bottomRight" state="frozen"/>
      <selection pane="topLeft" activeCell="A6" sqref="A6"/>
      <selection pane="topRight" activeCell="A6" sqref="A6"/>
      <selection pane="bottomLeft" activeCell="A6" sqref="A6"/>
      <selection pane="bottomRight" activeCell="G2" sqref="G2"/>
    </sheetView>
  </sheetViews>
  <sheetFormatPr defaultColWidth="9.00390625" defaultRowHeight="12.75"/>
  <cols>
    <col min="1" max="1" width="2.75390625" style="33" customWidth="1"/>
    <col min="2" max="2" width="2.875" style="33" customWidth="1"/>
    <col min="3" max="5" width="2.75390625" style="33" customWidth="1"/>
    <col min="6" max="7" width="13.75390625" style="33" customWidth="1"/>
    <col min="8" max="8" width="10.125" style="33" customWidth="1"/>
    <col min="9" max="9" width="7.75390625" style="33" customWidth="1"/>
    <col min="10" max="10" width="8.75390625" style="33" customWidth="1"/>
    <col min="11" max="11" width="7.75390625" style="33" customWidth="1"/>
    <col min="12" max="14" width="9.75390625" style="33" customWidth="1"/>
    <col min="15" max="15" width="10.375" style="33" customWidth="1"/>
    <col min="16" max="19" width="8.875" style="33" customWidth="1"/>
    <col min="20" max="20" width="1.75390625" style="33" customWidth="1"/>
    <col min="21" max="27" width="10.75390625" style="1" customWidth="1"/>
    <col min="28" max="16384" width="10.75390625" style="33" customWidth="1"/>
  </cols>
  <sheetData>
    <row r="1" spans="21:27" s="2" customFormat="1" ht="17.25" customHeight="1" thickBot="1">
      <c r="U1" s="1"/>
      <c r="V1" s="1"/>
      <c r="W1" s="1"/>
      <c r="X1" s="1"/>
      <c r="Y1" s="1"/>
      <c r="Z1" s="1"/>
      <c r="AA1" s="1"/>
    </row>
    <row r="2" spans="7:27" s="3" customFormat="1" ht="15.75" customHeight="1" thickTop="1">
      <c r="G2" s="4" t="s">
        <v>221</v>
      </c>
      <c r="M2" s="100" t="str">
        <f ca="1">TEXT(NOW(),"mmmm d, yyyy")</f>
        <v>June 8, 2004</v>
      </c>
      <c r="N2" s="101"/>
      <c r="O2" s="102"/>
      <c r="Q2" s="8"/>
      <c r="U2" s="1"/>
      <c r="V2" s="1"/>
      <c r="W2" s="1"/>
      <c r="X2" s="1"/>
      <c r="Y2" s="1"/>
      <c r="Z2" s="1"/>
      <c r="AA2" s="1"/>
    </row>
    <row r="3" spans="13:27" s="3" customFormat="1" ht="13.5" customHeight="1">
      <c r="M3" s="230">
        <f ca="1">NOW()</f>
        <v>36684.46044386574</v>
      </c>
      <c r="N3" s="231"/>
      <c r="O3" s="232"/>
      <c r="Q3" s="8"/>
      <c r="U3" s="1"/>
      <c r="V3" s="1"/>
      <c r="W3" s="1"/>
      <c r="X3" s="1"/>
      <c r="Y3" s="1"/>
      <c r="Z3" s="1"/>
      <c r="AA3" s="1"/>
    </row>
    <row r="4" spans="1:27" s="16" customFormat="1" ht="17.25" thickBot="1">
      <c r="A4" s="123" t="s">
        <v>0</v>
      </c>
      <c r="U4" s="1"/>
      <c r="V4" s="1"/>
      <c r="W4" s="1"/>
      <c r="X4" s="1"/>
      <c r="Y4" s="1"/>
      <c r="Z4" s="1"/>
      <c r="AA4" s="1"/>
    </row>
    <row r="5" spans="1:27" s="16" customFormat="1" ht="15.75" thickTop="1">
      <c r="A5" s="211" t="s">
        <v>1</v>
      </c>
      <c r="B5" s="18"/>
      <c r="C5" s="18"/>
      <c r="D5" s="18"/>
      <c r="E5" s="18"/>
      <c r="F5" s="18"/>
      <c r="G5" s="18"/>
      <c r="H5" s="18"/>
      <c r="I5" s="18"/>
      <c r="J5" s="18"/>
      <c r="K5" s="18"/>
      <c r="L5" s="18"/>
      <c r="M5" s="18"/>
      <c r="N5" s="18"/>
      <c r="O5" s="18"/>
      <c r="P5" s="18"/>
      <c r="Q5" s="18"/>
      <c r="R5" s="18"/>
      <c r="S5" s="18"/>
      <c r="T5" s="19"/>
      <c r="U5" s="1"/>
      <c r="V5" s="1"/>
      <c r="W5" s="1"/>
      <c r="X5" s="1"/>
      <c r="Y5" s="1"/>
      <c r="Z5" s="1"/>
      <c r="AA5" s="1"/>
    </row>
    <row r="6" spans="1:27" s="16" customFormat="1" ht="15">
      <c r="A6" s="20"/>
      <c r="B6" s="21" t="s">
        <v>2</v>
      </c>
      <c r="L6" s="193">
        <v>2000</v>
      </c>
      <c r="M6" s="193">
        <v>2001</v>
      </c>
      <c r="N6" s="193">
        <v>2002</v>
      </c>
      <c r="O6" s="193">
        <v>2003</v>
      </c>
      <c r="P6" s="193">
        <v>2004</v>
      </c>
      <c r="T6" s="22"/>
      <c r="U6" s="1"/>
      <c r="V6" s="1"/>
      <c r="W6" s="1"/>
      <c r="X6" s="1"/>
      <c r="Y6" s="1"/>
      <c r="Z6" s="1"/>
      <c r="AA6" s="1"/>
    </row>
    <row r="7" spans="1:27" s="16" customFormat="1" ht="15">
      <c r="A7" s="20"/>
      <c r="B7" s="21"/>
      <c r="C7" s="16" t="s">
        <v>3</v>
      </c>
      <c r="F7" s="23"/>
      <c r="G7" s="23"/>
      <c r="H7" s="23"/>
      <c r="I7" s="23"/>
      <c r="J7" s="23"/>
      <c r="K7" s="23"/>
      <c r="L7" s="68">
        <v>5</v>
      </c>
      <c r="M7" s="68">
        <v>0</v>
      </c>
      <c r="N7" s="68">
        <f>M7</f>
        <v>0</v>
      </c>
      <c r="O7" s="68">
        <f>N7</f>
        <v>0</v>
      </c>
      <c r="P7" s="68">
        <f>O7</f>
        <v>0</v>
      </c>
      <c r="T7" s="22"/>
      <c r="U7" s="1"/>
      <c r="V7" s="1"/>
      <c r="W7" s="1"/>
      <c r="X7" s="1"/>
      <c r="Y7" s="1"/>
      <c r="Z7" s="1"/>
      <c r="AA7" s="1"/>
    </row>
    <row r="8" spans="1:27" s="16" customFormat="1" ht="15">
      <c r="A8" s="20"/>
      <c r="B8" s="21"/>
      <c r="L8" s="137"/>
      <c r="M8" s="137"/>
      <c r="N8" s="137"/>
      <c r="O8" s="137"/>
      <c r="P8" s="137"/>
      <c r="T8" s="22"/>
      <c r="U8" s="1"/>
      <c r="V8" s="1"/>
      <c r="W8" s="1"/>
      <c r="X8" s="1"/>
      <c r="Y8" s="1"/>
      <c r="Z8" s="1"/>
      <c r="AA8" s="1"/>
    </row>
    <row r="9" spans="1:27" s="63" customFormat="1" ht="15">
      <c r="A9" s="161"/>
      <c r="B9" s="172"/>
      <c r="C9" s="63" t="s">
        <v>4</v>
      </c>
      <c r="F9" s="153"/>
      <c r="G9" s="153"/>
      <c r="H9" s="153"/>
      <c r="I9" s="153"/>
      <c r="J9" s="153"/>
      <c r="K9" s="153"/>
      <c r="L9" s="173">
        <v>1</v>
      </c>
      <c r="M9" s="173">
        <f>L9</f>
        <v>1</v>
      </c>
      <c r="N9" s="173">
        <f>M9</f>
        <v>1</v>
      </c>
      <c r="O9" s="173">
        <f>N9</f>
        <v>1</v>
      </c>
      <c r="P9" s="173">
        <f>O9</f>
        <v>1</v>
      </c>
      <c r="T9" s="163"/>
      <c r="U9" s="154"/>
      <c r="V9" s="154"/>
      <c r="W9" s="154"/>
      <c r="X9" s="154"/>
      <c r="Y9" s="154"/>
      <c r="Z9" s="154"/>
      <c r="AA9" s="154"/>
    </row>
    <row r="10" spans="1:27" s="14" customFormat="1" ht="15">
      <c r="A10" s="20"/>
      <c r="B10" s="21"/>
      <c r="C10" s="16"/>
      <c r="D10" s="16"/>
      <c r="E10" s="16"/>
      <c r="F10" s="16"/>
      <c r="G10" s="16"/>
      <c r="H10" s="16"/>
      <c r="I10" s="16"/>
      <c r="J10" s="16"/>
      <c r="K10" s="16"/>
      <c r="M10" s="16"/>
      <c r="N10" s="21"/>
      <c r="O10" s="16"/>
      <c r="P10" s="16"/>
      <c r="Q10" s="16"/>
      <c r="R10" s="16"/>
      <c r="S10" s="16"/>
      <c r="T10" s="22"/>
      <c r="U10" s="1"/>
      <c r="V10" s="1"/>
      <c r="W10" s="1"/>
      <c r="X10" s="1"/>
      <c r="Y10" s="1"/>
      <c r="Z10" s="1"/>
      <c r="AA10" s="1"/>
    </row>
    <row r="11" spans="1:27" s="14" customFormat="1" ht="15">
      <c r="A11" s="20"/>
      <c r="B11" s="21"/>
      <c r="C11" s="16" t="s">
        <v>5</v>
      </c>
      <c r="D11" s="16"/>
      <c r="E11" s="16"/>
      <c r="F11" s="23"/>
      <c r="G11" s="23"/>
      <c r="H11" s="23"/>
      <c r="I11" s="23"/>
      <c r="J11" s="23"/>
      <c r="K11" s="23"/>
      <c r="L11" s="210">
        <v>0.5</v>
      </c>
      <c r="M11" s="210">
        <v>0.5</v>
      </c>
      <c r="N11" s="210">
        <v>0.5</v>
      </c>
      <c r="O11" s="210">
        <v>0.5</v>
      </c>
      <c r="P11" s="210">
        <v>0.5</v>
      </c>
      <c r="Q11" s="16"/>
      <c r="R11" s="16"/>
      <c r="S11" s="16"/>
      <c r="T11" s="22"/>
      <c r="U11" s="1"/>
      <c r="V11" s="1"/>
      <c r="W11" s="1"/>
      <c r="X11" s="1"/>
      <c r="Y11" s="1"/>
      <c r="Z11" s="1"/>
      <c r="AA11" s="1"/>
    </row>
    <row r="12" spans="1:27" s="14" customFormat="1" ht="13.5">
      <c r="A12" s="20"/>
      <c r="B12" s="16"/>
      <c r="C12" s="16"/>
      <c r="D12" s="16"/>
      <c r="E12" s="16"/>
      <c r="F12" s="16"/>
      <c r="G12" s="16"/>
      <c r="H12" s="16"/>
      <c r="I12" s="16"/>
      <c r="J12" s="16"/>
      <c r="K12" s="16"/>
      <c r="L12" s="16"/>
      <c r="M12" s="16"/>
      <c r="N12" s="16"/>
      <c r="O12" s="16"/>
      <c r="P12" s="16"/>
      <c r="Q12" s="16"/>
      <c r="R12" s="16"/>
      <c r="S12" s="16"/>
      <c r="T12" s="22"/>
      <c r="U12" s="1"/>
      <c r="V12" s="1"/>
      <c r="W12" s="1"/>
      <c r="X12" s="1"/>
      <c r="Y12" s="1"/>
      <c r="Z12" s="1"/>
      <c r="AA12" s="1"/>
    </row>
    <row r="13" spans="1:20" ht="13.5">
      <c r="A13" s="28"/>
      <c r="B13" s="29"/>
      <c r="C13" s="29" t="s">
        <v>6</v>
      </c>
      <c r="D13" s="29"/>
      <c r="E13" s="29"/>
      <c r="F13" s="48"/>
      <c r="G13" s="48"/>
      <c r="H13" s="48"/>
      <c r="I13" s="48"/>
      <c r="J13" s="48"/>
      <c r="K13" s="48"/>
      <c r="L13" s="121">
        <v>34880</v>
      </c>
      <c r="M13" s="29"/>
      <c r="N13" s="29"/>
      <c r="O13" s="29"/>
      <c r="P13" s="29"/>
      <c r="Q13" s="29"/>
      <c r="R13" s="29"/>
      <c r="S13" s="29"/>
      <c r="T13" s="32"/>
    </row>
    <row r="14" spans="1:27" s="14" customFormat="1" ht="14.25" thickBot="1">
      <c r="A14" s="25"/>
      <c r="B14" s="24"/>
      <c r="C14" s="24"/>
      <c r="D14" s="24"/>
      <c r="E14" s="24"/>
      <c r="F14" s="24"/>
      <c r="G14" s="24"/>
      <c r="H14" s="24"/>
      <c r="I14" s="24"/>
      <c r="J14" s="24"/>
      <c r="K14" s="24"/>
      <c r="L14" s="24"/>
      <c r="M14" s="24"/>
      <c r="N14" s="24"/>
      <c r="O14" s="24"/>
      <c r="P14" s="24"/>
      <c r="Q14" s="24"/>
      <c r="R14" s="24"/>
      <c r="S14" s="24"/>
      <c r="T14" s="26"/>
      <c r="U14" s="1"/>
      <c r="V14" s="1"/>
      <c r="W14" s="1"/>
      <c r="X14" s="1"/>
      <c r="Y14" s="1"/>
      <c r="Z14" s="1"/>
      <c r="AA14" s="1"/>
    </row>
    <row r="15" spans="1:20" ht="15.75" thickTop="1">
      <c r="A15" s="212" t="s">
        <v>7</v>
      </c>
      <c r="B15" s="38"/>
      <c r="C15" s="38"/>
      <c r="D15" s="38"/>
      <c r="E15" s="38"/>
      <c r="F15" s="38"/>
      <c r="G15" s="38"/>
      <c r="H15" s="38"/>
      <c r="I15" s="38"/>
      <c r="J15" s="38"/>
      <c r="K15" s="38"/>
      <c r="L15" s="38"/>
      <c r="M15" s="38"/>
      <c r="N15" s="38"/>
      <c r="O15" s="38"/>
      <c r="P15" s="38"/>
      <c r="Q15" s="38"/>
      <c r="R15" s="38"/>
      <c r="S15" s="38"/>
      <c r="T15" s="39"/>
    </row>
    <row r="16" spans="1:20" ht="15">
      <c r="A16" s="28"/>
      <c r="B16" s="40" t="s">
        <v>8</v>
      </c>
      <c r="C16" s="29"/>
      <c r="D16" s="29"/>
      <c r="E16" s="29"/>
      <c r="F16" s="29"/>
      <c r="G16" s="29"/>
      <c r="H16" s="1"/>
      <c r="I16" s="160"/>
      <c r="J16" s="72"/>
      <c r="K16" s="81" t="s">
        <v>9</v>
      </c>
      <c r="L16" s="73"/>
      <c r="M16" s="72"/>
      <c r="N16" s="71"/>
      <c r="O16" s="80" t="s">
        <v>10</v>
      </c>
      <c r="P16" s="1"/>
      <c r="Q16" s="29"/>
      <c r="R16" s="29"/>
      <c r="S16" s="29"/>
      <c r="T16" s="32"/>
    </row>
    <row r="17" spans="1:20" ht="15">
      <c r="A17" s="28"/>
      <c r="B17" s="29"/>
      <c r="C17" s="44" t="s">
        <v>11</v>
      </c>
      <c r="D17" s="29"/>
      <c r="E17" s="29"/>
      <c r="F17" s="29"/>
      <c r="G17" s="29"/>
      <c r="H17" s="1"/>
      <c r="I17" s="170">
        <f>+$L$13-(3*365.25)</f>
        <v>33784.25</v>
      </c>
      <c r="J17" s="191"/>
      <c r="K17" s="170">
        <f>+$L$13-(2*365.25)</f>
        <v>34149.5</v>
      </c>
      <c r="L17" s="191"/>
      <c r="M17" s="170">
        <f>+$L$13-(1*365.25)</f>
        <v>34514.75</v>
      </c>
      <c r="N17" s="1"/>
      <c r="O17" s="171">
        <f>$L$13</f>
        <v>34880</v>
      </c>
      <c r="P17" s="1"/>
      <c r="Q17" s="29"/>
      <c r="R17" s="29"/>
      <c r="S17" s="29"/>
      <c r="T17" s="32"/>
    </row>
    <row r="18" spans="1:27" s="14" customFormat="1" ht="15">
      <c r="A18" s="20"/>
      <c r="B18" s="16"/>
      <c r="C18" s="64"/>
      <c r="D18" s="16"/>
      <c r="E18" s="16"/>
      <c r="F18" s="16"/>
      <c r="G18" s="16"/>
      <c r="I18" s="23"/>
      <c r="J18" s="16"/>
      <c r="K18" s="23"/>
      <c r="L18" s="16"/>
      <c r="M18" s="23"/>
      <c r="O18" s="23"/>
      <c r="Q18" s="16"/>
      <c r="R18" s="16"/>
      <c r="S18" s="16"/>
      <c r="T18" s="22"/>
      <c r="U18" s="1"/>
      <c r="V18" s="1"/>
      <c r="W18" s="1"/>
      <c r="X18" s="1"/>
      <c r="Y18" s="1"/>
      <c r="Z18" s="1"/>
      <c r="AA18" s="1"/>
    </row>
    <row r="19" spans="1:27" s="14" customFormat="1" ht="15">
      <c r="A19" s="20"/>
      <c r="B19" s="16"/>
      <c r="C19" s="64"/>
      <c r="D19" s="16" t="s">
        <v>12</v>
      </c>
      <c r="E19" s="16"/>
      <c r="F19" s="16"/>
      <c r="G19" s="16"/>
      <c r="I19" s="125"/>
      <c r="J19" s="16"/>
      <c r="K19" s="125"/>
      <c r="L19" s="16"/>
      <c r="M19" s="125"/>
      <c r="O19" s="125">
        <v>111211</v>
      </c>
      <c r="Q19" s="16"/>
      <c r="R19" s="16"/>
      <c r="S19" s="16"/>
      <c r="T19" s="22"/>
      <c r="U19" s="1"/>
      <c r="V19" s="1"/>
      <c r="W19" s="1"/>
      <c r="X19" s="1"/>
      <c r="Y19" s="1"/>
      <c r="Z19" s="1"/>
      <c r="AA19" s="1"/>
    </row>
    <row r="20" spans="1:27" s="14" customFormat="1" ht="13.5">
      <c r="A20" s="20"/>
      <c r="B20" s="16"/>
      <c r="C20" s="16"/>
      <c r="D20" s="16" t="s">
        <v>13</v>
      </c>
      <c r="E20" s="16"/>
      <c r="F20" s="16"/>
      <c r="G20" s="16"/>
      <c r="I20" s="69"/>
      <c r="J20" s="16"/>
      <c r="K20" s="69"/>
      <c r="L20" s="16"/>
      <c r="M20" s="69"/>
      <c r="O20" s="125">
        <f>O19</f>
        <v>111211</v>
      </c>
      <c r="Q20" s="16"/>
      <c r="R20" s="16"/>
      <c r="S20" s="16"/>
      <c r="T20" s="22"/>
      <c r="U20" s="1"/>
      <c r="V20" s="1"/>
      <c r="W20" s="1"/>
      <c r="X20" s="1"/>
      <c r="Y20" s="1"/>
      <c r="Z20" s="1"/>
      <c r="AA20" s="1"/>
    </row>
    <row r="21" spans="1:27" s="14" customFormat="1" ht="13.5">
      <c r="A21" s="20"/>
      <c r="B21" s="16"/>
      <c r="C21" s="16"/>
      <c r="D21" s="16" t="s">
        <v>14</v>
      </c>
      <c r="E21" s="16"/>
      <c r="F21" s="16"/>
      <c r="G21" s="16"/>
      <c r="I21" s="69"/>
      <c r="J21" s="16"/>
      <c r="K21" s="69"/>
      <c r="L21" s="16"/>
      <c r="M21" s="69"/>
      <c r="O21" s="69">
        <v>60001</v>
      </c>
      <c r="Q21" s="16"/>
      <c r="R21" s="16"/>
      <c r="S21" s="16"/>
      <c r="T21" s="22"/>
      <c r="U21" s="1"/>
      <c r="V21" s="1"/>
      <c r="W21" s="1"/>
      <c r="X21" s="1"/>
      <c r="Y21" s="1"/>
      <c r="Z21" s="1"/>
      <c r="AA21" s="1"/>
    </row>
    <row r="22" spans="1:27" s="14" customFormat="1" ht="13.5">
      <c r="A22" s="20"/>
      <c r="B22" s="16"/>
      <c r="C22" s="16"/>
      <c r="D22" s="16" t="s">
        <v>15</v>
      </c>
      <c r="E22" s="16"/>
      <c r="F22" s="16"/>
      <c r="G22" s="16"/>
      <c r="I22" s="69"/>
      <c r="J22" s="16"/>
      <c r="K22" s="69"/>
      <c r="L22" s="16"/>
      <c r="M22" s="69"/>
      <c r="O22" s="69">
        <v>0</v>
      </c>
      <c r="Q22" s="16"/>
      <c r="R22" s="16"/>
      <c r="S22" s="16"/>
      <c r="T22" s="22"/>
      <c r="U22" s="1"/>
      <c r="V22" s="1"/>
      <c r="W22" s="1"/>
      <c r="X22" s="1"/>
      <c r="Y22" s="1"/>
      <c r="Z22" s="1"/>
      <c r="AA22" s="1"/>
    </row>
    <row r="23" spans="1:27" s="14" customFormat="1" ht="13.5">
      <c r="A23" s="20"/>
      <c r="B23" s="16"/>
      <c r="C23" s="16"/>
      <c r="D23" s="16" t="s">
        <v>16</v>
      </c>
      <c r="E23" s="16"/>
      <c r="F23" s="16"/>
      <c r="G23" s="16"/>
      <c r="I23" s="69"/>
      <c r="J23" s="16"/>
      <c r="K23" s="69"/>
      <c r="L23" s="16"/>
      <c r="M23" s="69"/>
      <c r="O23" s="69">
        <v>0</v>
      </c>
      <c r="Q23" s="16"/>
      <c r="R23" s="16"/>
      <c r="S23" s="16"/>
      <c r="T23" s="22"/>
      <c r="U23" s="1"/>
      <c r="V23" s="1"/>
      <c r="W23" s="1"/>
      <c r="X23" s="1"/>
      <c r="Y23" s="1"/>
      <c r="Z23" s="1"/>
      <c r="AA23" s="1"/>
    </row>
    <row r="24" spans="1:27" s="14" customFormat="1" ht="13.5">
      <c r="A24" s="20"/>
      <c r="B24" s="16"/>
      <c r="C24" s="16"/>
      <c r="D24" s="16" t="s">
        <v>17</v>
      </c>
      <c r="E24" s="16"/>
      <c r="F24" s="16"/>
      <c r="G24" s="16"/>
      <c r="I24" s="69"/>
      <c r="J24" s="16"/>
      <c r="K24" s="69"/>
      <c r="L24" s="16"/>
      <c r="M24" s="69"/>
      <c r="O24" s="69">
        <v>7518</v>
      </c>
      <c r="Q24" s="16"/>
      <c r="R24" s="16"/>
      <c r="S24" s="16"/>
      <c r="T24" s="22"/>
      <c r="U24" s="1"/>
      <c r="V24" s="1"/>
      <c r="W24" s="1"/>
      <c r="X24" s="1"/>
      <c r="Y24" s="1"/>
      <c r="Z24" s="1"/>
      <c r="AA24" s="1"/>
    </row>
    <row r="25" spans="1:27" s="14" customFormat="1" ht="13.5">
      <c r="A25" s="20"/>
      <c r="B25" s="16"/>
      <c r="C25" s="16"/>
      <c r="D25" s="16" t="s">
        <v>18</v>
      </c>
      <c r="E25" s="16"/>
      <c r="F25" s="16"/>
      <c r="G25" s="16"/>
      <c r="I25" s="69"/>
      <c r="J25" s="16"/>
      <c r="K25" s="69"/>
      <c r="L25" s="16"/>
      <c r="M25" s="69"/>
      <c r="O25" s="69">
        <f>SUM(O22:O24)</f>
        <v>7518</v>
      </c>
      <c r="Q25" s="16"/>
      <c r="R25" s="16"/>
      <c r="S25" s="16"/>
      <c r="T25" s="22"/>
      <c r="U25" s="1"/>
      <c r="V25" s="1"/>
      <c r="W25" s="1"/>
      <c r="X25" s="1"/>
      <c r="Y25" s="1"/>
      <c r="Z25" s="1"/>
      <c r="AA25" s="1"/>
    </row>
    <row r="26" spans="1:27" s="14" customFormat="1" ht="13.5">
      <c r="A26" s="20"/>
      <c r="B26" s="16"/>
      <c r="C26" s="16"/>
      <c r="D26" s="16" t="s">
        <v>19</v>
      </c>
      <c r="E26" s="16"/>
      <c r="F26" s="16"/>
      <c r="G26" s="16"/>
      <c r="I26" s="69"/>
      <c r="J26" s="16"/>
      <c r="K26" s="69"/>
      <c r="L26" s="16"/>
      <c r="M26" s="69"/>
      <c r="O26" s="69">
        <v>4884</v>
      </c>
      <c r="Q26" s="16"/>
      <c r="R26" s="16"/>
      <c r="S26" s="16"/>
      <c r="T26" s="22"/>
      <c r="U26" s="1"/>
      <c r="V26" s="1"/>
      <c r="W26" s="1"/>
      <c r="X26" s="1"/>
      <c r="Y26" s="1"/>
      <c r="Z26" s="1"/>
      <c r="AA26" s="1"/>
    </row>
    <row r="27" spans="1:27" s="14" customFormat="1" ht="13.5">
      <c r="A27" s="20"/>
      <c r="B27" s="16"/>
      <c r="C27" s="16"/>
      <c r="D27" s="16" t="s">
        <v>20</v>
      </c>
      <c r="E27" s="16"/>
      <c r="F27" s="16"/>
      <c r="G27" s="16"/>
      <c r="I27" s="69"/>
      <c r="J27" s="16"/>
      <c r="K27" s="69"/>
      <c r="L27" s="16"/>
      <c r="M27" s="69"/>
      <c r="O27" s="69">
        <v>0</v>
      </c>
      <c r="Q27" s="16"/>
      <c r="R27" s="16"/>
      <c r="S27" s="16"/>
      <c r="T27" s="22"/>
      <c r="U27" s="1"/>
      <c r="V27" s="1"/>
      <c r="W27" s="1"/>
      <c r="X27" s="1"/>
      <c r="Y27" s="1"/>
      <c r="Z27" s="1"/>
      <c r="AA27" s="1"/>
    </row>
    <row r="28" spans="1:27" s="14" customFormat="1" ht="13.5">
      <c r="A28" s="20"/>
      <c r="B28" s="16"/>
      <c r="C28" s="16"/>
      <c r="D28" s="16" t="s">
        <v>21</v>
      </c>
      <c r="E28" s="16"/>
      <c r="F28" s="16"/>
      <c r="G28" s="16"/>
      <c r="I28" s="69"/>
      <c r="J28" s="16"/>
      <c r="K28" s="69"/>
      <c r="L28" s="16"/>
      <c r="M28" s="69"/>
      <c r="O28" s="69">
        <v>250</v>
      </c>
      <c r="Q28" s="16"/>
      <c r="R28" s="16"/>
      <c r="S28" s="16"/>
      <c r="T28" s="22"/>
      <c r="U28" s="1"/>
      <c r="V28" s="1"/>
      <c r="W28" s="1"/>
      <c r="X28" s="1"/>
      <c r="Y28" s="1"/>
      <c r="Z28" s="1"/>
      <c r="AA28" s="1"/>
    </row>
    <row r="29" spans="1:27" s="14" customFormat="1" ht="13.5">
      <c r="A29" s="20"/>
      <c r="B29" s="16"/>
      <c r="C29" s="16"/>
      <c r="D29" s="16" t="s">
        <v>22</v>
      </c>
      <c r="E29" s="16"/>
      <c r="F29" s="16"/>
      <c r="G29" s="16"/>
      <c r="I29" s="69"/>
      <c r="J29" s="16"/>
      <c r="K29" s="69"/>
      <c r="L29" s="16"/>
      <c r="M29" s="69"/>
      <c r="O29" s="69">
        <v>647</v>
      </c>
      <c r="Q29" s="16"/>
      <c r="R29" s="16"/>
      <c r="S29" s="16"/>
      <c r="T29" s="22"/>
      <c r="U29" s="1"/>
      <c r="V29" s="1"/>
      <c r="W29" s="1"/>
      <c r="X29" s="1"/>
      <c r="Y29" s="1"/>
      <c r="Z29" s="1"/>
      <c r="AA29" s="1"/>
    </row>
    <row r="30" spans="1:27" s="14" customFormat="1" ht="13.5">
      <c r="A30" s="20"/>
      <c r="B30" s="16"/>
      <c r="C30" s="16"/>
      <c r="D30" s="16" t="s">
        <v>23</v>
      </c>
      <c r="E30" s="16"/>
      <c r="F30" s="16"/>
      <c r="G30" s="16"/>
      <c r="I30" s="69"/>
      <c r="J30" s="16"/>
      <c r="K30" s="69"/>
      <c r="L30" s="16"/>
      <c r="M30" s="69"/>
      <c r="O30" s="69">
        <v>0</v>
      </c>
      <c r="Q30" s="16"/>
      <c r="R30" s="16"/>
      <c r="S30" s="16"/>
      <c r="T30" s="22"/>
      <c r="U30" s="1"/>
      <c r="V30" s="1"/>
      <c r="W30" s="1"/>
      <c r="X30" s="1"/>
      <c r="Y30" s="1"/>
      <c r="Z30" s="1"/>
      <c r="AA30" s="1"/>
    </row>
    <row r="31" spans="1:27" s="14" customFormat="1" ht="13.5">
      <c r="A31" s="20"/>
      <c r="B31" s="16"/>
      <c r="C31" s="16"/>
      <c r="D31" s="16" t="s">
        <v>24</v>
      </c>
      <c r="E31" s="16"/>
      <c r="F31" s="16"/>
      <c r="G31" s="16"/>
      <c r="I31" s="69"/>
      <c r="J31" s="16"/>
      <c r="K31" s="69"/>
      <c r="L31" s="16"/>
      <c r="M31" s="69"/>
      <c r="O31" s="69">
        <v>0</v>
      </c>
      <c r="Q31" s="16"/>
      <c r="R31" s="16"/>
      <c r="S31" s="16"/>
      <c r="T31" s="22"/>
      <c r="U31" s="1"/>
      <c r="V31" s="1"/>
      <c r="W31" s="1"/>
      <c r="X31" s="1"/>
      <c r="Y31" s="1"/>
      <c r="Z31" s="1"/>
      <c r="AA31" s="1"/>
    </row>
    <row r="32" spans="1:27" s="14" customFormat="1" ht="13.5">
      <c r="A32" s="20"/>
      <c r="B32" s="16"/>
      <c r="C32" s="16"/>
      <c r="D32" s="16" t="s">
        <v>25</v>
      </c>
      <c r="E32" s="16"/>
      <c r="F32" s="16"/>
      <c r="G32" s="16"/>
      <c r="I32" s="69"/>
      <c r="J32" s="16"/>
      <c r="K32" s="69"/>
      <c r="L32" s="16"/>
      <c r="M32" s="69"/>
      <c r="O32" s="69">
        <v>32631</v>
      </c>
      <c r="Q32" s="16"/>
      <c r="R32" s="129"/>
      <c r="S32" s="16"/>
      <c r="T32" s="22"/>
      <c r="U32" s="1"/>
      <c r="V32" s="1"/>
      <c r="W32" s="1"/>
      <c r="X32" s="1"/>
      <c r="Y32" s="1"/>
      <c r="Z32" s="1"/>
      <c r="AA32" s="1"/>
    </row>
    <row r="33" spans="1:27" s="14" customFormat="1" ht="13.5">
      <c r="A33" s="20"/>
      <c r="B33" s="16"/>
      <c r="C33" s="16"/>
      <c r="D33" s="16"/>
      <c r="E33" s="16"/>
      <c r="F33" s="16"/>
      <c r="G33" s="16"/>
      <c r="I33" s="16"/>
      <c r="J33" s="16"/>
      <c r="K33" s="16"/>
      <c r="L33" s="16"/>
      <c r="M33" s="16"/>
      <c r="O33" s="16"/>
      <c r="Q33" s="16"/>
      <c r="R33" s="16"/>
      <c r="S33" s="16"/>
      <c r="T33" s="22"/>
      <c r="U33" s="1"/>
      <c r="V33" s="1"/>
      <c r="W33" s="1"/>
      <c r="X33" s="1"/>
      <c r="Y33" s="1"/>
      <c r="Z33" s="1"/>
      <c r="AA33" s="1"/>
    </row>
    <row r="34" spans="1:27" s="16" customFormat="1" ht="13.5" customHeight="1">
      <c r="A34" s="20"/>
      <c r="D34" s="16" t="s">
        <v>26</v>
      </c>
      <c r="H34" s="14"/>
      <c r="I34" s="69"/>
      <c r="K34" s="69"/>
      <c r="M34" s="69"/>
      <c r="N34" s="14"/>
      <c r="O34" s="69">
        <v>0</v>
      </c>
      <c r="P34" s="14"/>
      <c r="T34" s="22"/>
      <c r="U34" s="1"/>
      <c r="V34" s="1"/>
      <c r="W34" s="1"/>
      <c r="X34" s="1"/>
      <c r="Y34" s="1"/>
      <c r="Z34" s="1"/>
      <c r="AA34" s="1"/>
    </row>
    <row r="35" spans="1:27" s="16" customFormat="1" ht="14.25" thickBot="1">
      <c r="A35" s="25"/>
      <c r="B35" s="24"/>
      <c r="C35" s="24"/>
      <c r="D35" s="24"/>
      <c r="E35" s="24"/>
      <c r="F35" s="24"/>
      <c r="G35" s="24"/>
      <c r="H35" s="24"/>
      <c r="I35" s="24"/>
      <c r="J35" s="24"/>
      <c r="K35" s="24"/>
      <c r="L35" s="24"/>
      <c r="M35" s="24"/>
      <c r="N35" s="24"/>
      <c r="O35" s="24"/>
      <c r="P35" s="24"/>
      <c r="Q35" s="24"/>
      <c r="R35" s="24"/>
      <c r="S35" s="24"/>
      <c r="T35" s="26"/>
      <c r="U35" s="1"/>
      <c r="V35" s="1"/>
      <c r="W35" s="1"/>
      <c r="X35" s="1"/>
      <c r="Y35" s="1"/>
      <c r="Z35" s="1"/>
      <c r="AA35" s="1"/>
    </row>
    <row r="36" spans="1:27" s="16" customFormat="1" ht="13.5" customHeight="1" thickTop="1">
      <c r="A36" s="16" t="s">
        <v>27</v>
      </c>
      <c r="U36" s="1"/>
      <c r="V36" s="1"/>
      <c r="W36" s="1"/>
      <c r="X36" s="1"/>
      <c r="Y36" s="1"/>
      <c r="Z36" s="1"/>
      <c r="AA36" s="1"/>
    </row>
    <row r="37" spans="1:27" s="14" customFormat="1" ht="17.25" thickBot="1">
      <c r="A37" s="233" t="s">
        <v>0</v>
      </c>
      <c r="B37" s="24"/>
      <c r="C37" s="24"/>
      <c r="D37" s="24"/>
      <c r="E37" s="24"/>
      <c r="F37" s="24"/>
      <c r="G37" s="24"/>
      <c r="H37" s="24"/>
      <c r="I37" s="24"/>
      <c r="J37" s="24"/>
      <c r="K37" s="24"/>
      <c r="L37" s="24"/>
      <c r="M37" s="24"/>
      <c r="N37" s="24"/>
      <c r="O37" s="24"/>
      <c r="P37" s="24"/>
      <c r="Q37" s="24"/>
      <c r="R37" s="24"/>
      <c r="S37" s="24"/>
      <c r="T37" s="24"/>
      <c r="U37" s="1"/>
      <c r="V37" s="1"/>
      <c r="W37" s="1"/>
      <c r="X37" s="1"/>
      <c r="Y37" s="1"/>
      <c r="Z37" s="1"/>
      <c r="AA37" s="1"/>
    </row>
    <row r="38" spans="1:20" ht="15.75" thickTop="1">
      <c r="A38" s="28"/>
      <c r="B38" s="40" t="s">
        <v>8</v>
      </c>
      <c r="C38" s="29"/>
      <c r="D38" s="29"/>
      <c r="E38" s="29"/>
      <c r="F38" s="29"/>
      <c r="G38" s="29"/>
      <c r="H38" s="1"/>
      <c r="I38" s="73"/>
      <c r="J38" s="72"/>
      <c r="K38" s="81" t="str">
        <f>K16</f>
        <v>Pre-Implementation</v>
      </c>
      <c r="L38" s="73"/>
      <c r="M38" s="72"/>
      <c r="N38" s="73"/>
      <c r="O38" s="80" t="str">
        <f>O16</f>
        <v>Base Year*</v>
      </c>
      <c r="P38" s="1"/>
      <c r="Q38" s="29"/>
      <c r="R38" s="29"/>
      <c r="S38" s="29"/>
      <c r="T38" s="39"/>
    </row>
    <row r="39" spans="1:20" ht="15">
      <c r="A39" s="28"/>
      <c r="B39" s="29"/>
      <c r="C39" s="44" t="s">
        <v>28</v>
      </c>
      <c r="D39" s="29"/>
      <c r="E39" s="29"/>
      <c r="F39" s="29"/>
      <c r="G39" s="29"/>
      <c r="H39" s="1"/>
      <c r="I39" s="170">
        <f>+I17</f>
        <v>33784.25</v>
      </c>
      <c r="J39" s="191"/>
      <c r="K39" s="170">
        <f>+K17</f>
        <v>34149.5</v>
      </c>
      <c r="L39" s="191"/>
      <c r="M39" s="170">
        <f>+M17</f>
        <v>34514.75</v>
      </c>
      <c r="N39" s="1"/>
      <c r="O39" s="170">
        <f>+O17</f>
        <v>34880</v>
      </c>
      <c r="P39" s="1"/>
      <c r="Q39" s="29"/>
      <c r="R39" s="29"/>
      <c r="S39" s="29"/>
      <c r="T39" s="32"/>
    </row>
    <row r="40" spans="1:27" s="14" customFormat="1" ht="13.5">
      <c r="A40" s="20"/>
      <c r="B40" s="16"/>
      <c r="C40" s="16"/>
      <c r="D40" s="16" t="s">
        <v>29</v>
      </c>
      <c r="E40" s="16"/>
      <c r="F40" s="16"/>
      <c r="G40" s="16"/>
      <c r="I40" s="16"/>
      <c r="J40" s="16"/>
      <c r="K40" s="16"/>
      <c r="L40" s="16"/>
      <c r="M40" s="16"/>
      <c r="O40" s="16"/>
      <c r="Q40" s="16"/>
      <c r="R40" s="16"/>
      <c r="S40" s="16"/>
      <c r="T40" s="22"/>
      <c r="U40" s="1"/>
      <c r="V40" s="1"/>
      <c r="W40" s="1"/>
      <c r="X40" s="1"/>
      <c r="Y40" s="1"/>
      <c r="Z40" s="1"/>
      <c r="AA40" s="1"/>
    </row>
    <row r="41" spans="1:27" s="14" customFormat="1" ht="13.5">
      <c r="A41" s="20"/>
      <c r="B41" s="16"/>
      <c r="C41" s="16"/>
      <c r="D41" s="16"/>
      <c r="E41" s="16" t="s">
        <v>30</v>
      </c>
      <c r="F41" s="16"/>
      <c r="G41" s="16"/>
      <c r="I41" s="69"/>
      <c r="J41" s="16"/>
      <c r="K41" s="69"/>
      <c r="L41" s="16"/>
      <c r="M41" s="69"/>
      <c r="O41" s="69">
        <v>1652</v>
      </c>
      <c r="Q41" s="16"/>
      <c r="R41" s="16"/>
      <c r="S41" s="16"/>
      <c r="T41" s="22"/>
      <c r="U41" s="1"/>
      <c r="V41" s="1"/>
      <c r="W41" s="1"/>
      <c r="X41" s="1"/>
      <c r="Y41" s="1"/>
      <c r="Z41" s="1"/>
      <c r="AA41" s="1"/>
    </row>
    <row r="42" spans="1:27" s="14" customFormat="1" ht="13.5">
      <c r="A42" s="20"/>
      <c r="B42" s="16"/>
      <c r="C42" s="16"/>
      <c r="D42" s="16"/>
      <c r="E42" s="16" t="s">
        <v>31</v>
      </c>
      <c r="F42" s="16"/>
      <c r="G42" s="16"/>
      <c r="I42" s="69"/>
      <c r="J42" s="16"/>
      <c r="K42" s="69"/>
      <c r="L42" s="16"/>
      <c r="M42" s="69"/>
      <c r="O42" s="69">
        <v>6860</v>
      </c>
      <c r="Q42" s="16"/>
      <c r="R42" s="16"/>
      <c r="S42" s="16"/>
      <c r="T42" s="22"/>
      <c r="U42" s="1"/>
      <c r="V42" s="1"/>
      <c r="W42" s="1"/>
      <c r="X42" s="1"/>
      <c r="Y42" s="1"/>
      <c r="Z42" s="1"/>
      <c r="AA42" s="1"/>
    </row>
    <row r="43" spans="1:27" s="14" customFormat="1" ht="13.5">
      <c r="A43" s="20"/>
      <c r="B43" s="16"/>
      <c r="C43" s="16"/>
      <c r="D43" s="16"/>
      <c r="E43" s="16" t="s">
        <v>32</v>
      </c>
      <c r="F43" s="16"/>
      <c r="G43" s="16"/>
      <c r="I43" s="69"/>
      <c r="J43" s="16"/>
      <c r="K43" s="69"/>
      <c r="L43" s="16"/>
      <c r="M43" s="69"/>
      <c r="O43" s="69">
        <v>5472</v>
      </c>
      <c r="Q43" s="16"/>
      <c r="R43" s="16"/>
      <c r="S43" s="16"/>
      <c r="T43" s="22"/>
      <c r="U43" s="1"/>
      <c r="V43" s="1"/>
      <c r="W43" s="1"/>
      <c r="X43" s="1"/>
      <c r="Y43" s="1"/>
      <c r="Z43" s="1"/>
      <c r="AA43" s="1"/>
    </row>
    <row r="44" spans="1:27" s="14" customFormat="1" ht="13.5">
      <c r="A44" s="20"/>
      <c r="B44" s="16"/>
      <c r="C44" s="16"/>
      <c r="D44" s="16"/>
      <c r="E44" s="16" t="s">
        <v>33</v>
      </c>
      <c r="F44" s="16"/>
      <c r="G44" s="16"/>
      <c r="I44" s="69"/>
      <c r="J44" s="16"/>
      <c r="K44" s="69"/>
      <c r="L44" s="16"/>
      <c r="M44" s="69"/>
      <c r="O44" s="69">
        <v>875</v>
      </c>
      <c r="Q44" s="16"/>
      <c r="R44" s="16"/>
      <c r="S44" s="16"/>
      <c r="T44" s="22"/>
      <c r="U44" s="1"/>
      <c r="V44" s="1"/>
      <c r="W44" s="1"/>
      <c r="X44" s="1"/>
      <c r="Y44" s="1"/>
      <c r="Z44" s="1"/>
      <c r="AA44" s="1"/>
    </row>
    <row r="45" spans="1:27" s="14" customFormat="1" ht="13.5">
      <c r="A45" s="20"/>
      <c r="B45" s="16"/>
      <c r="C45" s="16"/>
      <c r="D45" s="16"/>
      <c r="E45" s="16" t="s">
        <v>34</v>
      </c>
      <c r="F45" s="16"/>
      <c r="G45" s="16"/>
      <c r="I45" s="69"/>
      <c r="J45" s="16"/>
      <c r="K45" s="69"/>
      <c r="L45" s="16"/>
      <c r="M45" s="69"/>
      <c r="O45" s="69">
        <v>4790</v>
      </c>
      <c r="Q45" s="16"/>
      <c r="R45" s="16"/>
      <c r="S45" s="16"/>
      <c r="T45" s="22"/>
      <c r="U45" s="1"/>
      <c r="V45" s="1"/>
      <c r="W45" s="1"/>
      <c r="X45" s="1"/>
      <c r="Y45" s="1"/>
      <c r="Z45" s="1"/>
      <c r="AA45" s="1"/>
    </row>
    <row r="46" spans="1:27" s="14" customFormat="1" ht="13.5">
      <c r="A46" s="20"/>
      <c r="B46" s="16"/>
      <c r="C46" s="16"/>
      <c r="D46" s="16"/>
      <c r="E46" s="16"/>
      <c r="F46" s="16"/>
      <c r="G46" s="16"/>
      <c r="I46" s="16"/>
      <c r="J46" s="16"/>
      <c r="K46" s="16"/>
      <c r="L46" s="16"/>
      <c r="M46" s="16"/>
      <c r="O46" s="16"/>
      <c r="Q46" s="16"/>
      <c r="R46" s="16"/>
      <c r="S46" s="16"/>
      <c r="T46" s="22"/>
      <c r="U46" s="1"/>
      <c r="V46" s="1"/>
      <c r="W46" s="1"/>
      <c r="X46" s="1"/>
      <c r="Y46" s="1"/>
      <c r="Z46" s="1"/>
      <c r="AA46" s="1"/>
    </row>
    <row r="47" spans="1:27" s="14" customFormat="1" ht="13.5">
      <c r="A47" s="20"/>
      <c r="B47" s="16"/>
      <c r="C47" s="16"/>
      <c r="D47" s="16" t="s">
        <v>35</v>
      </c>
      <c r="E47" s="16"/>
      <c r="F47" s="16"/>
      <c r="G47" s="16"/>
      <c r="I47" s="16"/>
      <c r="J47" s="16"/>
      <c r="K47" s="16"/>
      <c r="L47" s="16"/>
      <c r="M47" s="16"/>
      <c r="O47" s="16"/>
      <c r="Q47" s="16"/>
      <c r="R47" s="16"/>
      <c r="S47" s="16"/>
      <c r="T47" s="22"/>
      <c r="U47" s="1"/>
      <c r="V47" s="1"/>
      <c r="W47" s="1"/>
      <c r="X47" s="1"/>
      <c r="Y47" s="1"/>
      <c r="Z47" s="1"/>
      <c r="AA47" s="1"/>
    </row>
    <row r="48" spans="1:27" s="14" customFormat="1" ht="13.5">
      <c r="A48" s="20"/>
      <c r="B48" s="16"/>
      <c r="C48" s="16"/>
      <c r="D48" s="16"/>
      <c r="E48" s="16" t="s">
        <v>36</v>
      </c>
      <c r="F48" s="16"/>
      <c r="G48" s="16"/>
      <c r="I48" s="69"/>
      <c r="J48" s="16"/>
      <c r="K48" s="69"/>
      <c r="L48" s="16"/>
      <c r="M48" s="69"/>
      <c r="O48" s="69">
        <v>0</v>
      </c>
      <c r="Q48" s="16"/>
      <c r="R48" s="16"/>
      <c r="S48" s="16"/>
      <c r="T48" s="22"/>
      <c r="U48" s="1"/>
      <c r="V48" s="1"/>
      <c r="W48" s="1"/>
      <c r="X48" s="1"/>
      <c r="Y48" s="1"/>
      <c r="Z48" s="1"/>
      <c r="AA48" s="1"/>
    </row>
    <row r="49" spans="1:27" s="14" customFormat="1" ht="13.5">
      <c r="A49" s="20"/>
      <c r="B49" s="16"/>
      <c r="C49" s="16"/>
      <c r="D49" s="16"/>
      <c r="E49" s="16" t="s">
        <v>37</v>
      </c>
      <c r="F49" s="16"/>
      <c r="G49" s="16"/>
      <c r="I49" s="69"/>
      <c r="J49" s="16"/>
      <c r="K49" s="69"/>
      <c r="L49" s="16"/>
      <c r="M49" s="69"/>
      <c r="O49" s="69">
        <v>61962</v>
      </c>
      <c r="Q49" s="16"/>
      <c r="R49" s="16"/>
      <c r="S49" s="16"/>
      <c r="T49" s="22"/>
      <c r="U49" s="1"/>
      <c r="V49" s="1"/>
      <c r="W49" s="1"/>
      <c r="X49" s="1"/>
      <c r="Y49" s="1"/>
      <c r="Z49" s="1"/>
      <c r="AA49" s="1"/>
    </row>
    <row r="50" spans="1:27" s="14" customFormat="1" ht="13.5">
      <c r="A50" s="20"/>
      <c r="B50" s="16"/>
      <c r="C50" s="16"/>
      <c r="D50" s="16"/>
      <c r="E50" s="16" t="s">
        <v>38</v>
      </c>
      <c r="F50" s="16"/>
      <c r="G50" s="16"/>
      <c r="I50" s="69"/>
      <c r="J50" s="16"/>
      <c r="K50" s="69"/>
      <c r="L50" s="16"/>
      <c r="M50" s="69"/>
      <c r="O50" s="69">
        <v>0</v>
      </c>
      <c r="Q50" s="16"/>
      <c r="R50" s="16"/>
      <c r="S50" s="16"/>
      <c r="T50" s="22"/>
      <c r="U50" s="1"/>
      <c r="V50" s="1"/>
      <c r="W50" s="1"/>
      <c r="X50" s="1"/>
      <c r="Y50" s="1"/>
      <c r="Z50" s="1"/>
      <c r="AA50" s="1"/>
    </row>
    <row r="51" spans="1:27" s="14" customFormat="1" ht="13.5">
      <c r="A51" s="20"/>
      <c r="B51" s="16"/>
      <c r="C51" s="16"/>
      <c r="D51" s="16"/>
      <c r="E51" s="16" t="s">
        <v>39</v>
      </c>
      <c r="F51" s="16"/>
      <c r="G51" s="16"/>
      <c r="I51" s="69"/>
      <c r="J51" s="16"/>
      <c r="K51" s="69"/>
      <c r="L51" s="16"/>
      <c r="M51" s="69"/>
      <c r="O51" s="69">
        <v>0</v>
      </c>
      <c r="Q51" s="16"/>
      <c r="R51" s="16"/>
      <c r="S51" s="16"/>
      <c r="T51" s="22"/>
      <c r="U51" s="1"/>
      <c r="V51" s="1"/>
      <c r="W51" s="1"/>
      <c r="X51" s="1"/>
      <c r="Y51" s="1"/>
      <c r="Z51" s="1"/>
      <c r="AA51" s="1"/>
    </row>
    <row r="52" spans="1:27" s="14" customFormat="1" ht="13.5">
      <c r="A52" s="20"/>
      <c r="B52" s="16"/>
      <c r="C52" s="16"/>
      <c r="D52" s="16"/>
      <c r="E52" s="16" t="s">
        <v>40</v>
      </c>
      <c r="F52" s="16"/>
      <c r="G52" s="16"/>
      <c r="I52" s="69"/>
      <c r="J52" s="16"/>
      <c r="K52" s="69"/>
      <c r="L52" s="16"/>
      <c r="M52" s="69"/>
      <c r="O52" s="69">
        <v>2534</v>
      </c>
      <c r="Q52" s="16"/>
      <c r="R52" s="16"/>
      <c r="S52" s="16"/>
      <c r="T52" s="22"/>
      <c r="U52" s="1"/>
      <c r="V52" s="1"/>
      <c r="W52" s="1"/>
      <c r="X52" s="1"/>
      <c r="Y52" s="1"/>
      <c r="Z52" s="1"/>
      <c r="AA52" s="1"/>
    </row>
    <row r="53" spans="1:27" s="14" customFormat="1" ht="13.5">
      <c r="A53" s="20"/>
      <c r="B53" s="16"/>
      <c r="C53" s="16"/>
      <c r="D53" s="16"/>
      <c r="E53" s="16"/>
      <c r="F53" s="16"/>
      <c r="G53" s="16"/>
      <c r="I53" s="16"/>
      <c r="J53" s="16"/>
      <c r="K53" s="16"/>
      <c r="L53" s="16"/>
      <c r="M53" s="16"/>
      <c r="O53" s="16"/>
      <c r="Q53" s="16"/>
      <c r="R53" s="16"/>
      <c r="S53" s="16"/>
      <c r="T53" s="22"/>
      <c r="U53" s="1"/>
      <c r="V53" s="1"/>
      <c r="W53" s="1"/>
      <c r="X53" s="1"/>
      <c r="Y53" s="1"/>
      <c r="Z53" s="1"/>
      <c r="AA53" s="1"/>
    </row>
    <row r="54" spans="1:27" s="14" customFormat="1" ht="13.5">
      <c r="A54" s="20"/>
      <c r="B54" s="16"/>
      <c r="C54" s="16"/>
      <c r="D54" s="16" t="s">
        <v>41</v>
      </c>
      <c r="E54" s="16"/>
      <c r="F54" s="16"/>
      <c r="G54" s="16"/>
      <c r="I54" s="16"/>
      <c r="J54" s="16"/>
      <c r="K54" s="16"/>
      <c r="L54" s="16"/>
      <c r="M54" s="16"/>
      <c r="O54" s="16"/>
      <c r="Q54" s="16"/>
      <c r="R54" s="16"/>
      <c r="S54" s="16"/>
      <c r="T54" s="22"/>
      <c r="U54" s="1"/>
      <c r="V54" s="1"/>
      <c r="W54" s="1"/>
      <c r="X54" s="1"/>
      <c r="Y54" s="1"/>
      <c r="Z54" s="1"/>
      <c r="AA54" s="1"/>
    </row>
    <row r="55" spans="1:27" s="14" customFormat="1" ht="13.5">
      <c r="A55" s="20"/>
      <c r="B55" s="16"/>
      <c r="C55" s="16"/>
      <c r="D55" s="16"/>
      <c r="E55" s="16" t="s">
        <v>42</v>
      </c>
      <c r="F55" s="16"/>
      <c r="G55" s="16"/>
      <c r="I55" s="69"/>
      <c r="J55" s="16"/>
      <c r="K55" s="69"/>
      <c r="L55" s="16"/>
      <c r="M55" s="69"/>
      <c r="O55" s="69">
        <v>0</v>
      </c>
      <c r="Q55" s="16"/>
      <c r="R55" s="16"/>
      <c r="S55" s="16"/>
      <c r="T55" s="22"/>
      <c r="U55" s="1"/>
      <c r="V55" s="1"/>
      <c r="W55" s="1"/>
      <c r="X55" s="1"/>
      <c r="Y55" s="1"/>
      <c r="Z55" s="1"/>
      <c r="AA55" s="1"/>
    </row>
    <row r="56" spans="1:27" s="14" customFormat="1" ht="13.5">
      <c r="A56" s="20"/>
      <c r="B56" s="16"/>
      <c r="C56" s="16"/>
      <c r="D56" s="16"/>
      <c r="E56" s="16" t="s">
        <v>43</v>
      </c>
      <c r="F56" s="16"/>
      <c r="G56" s="16"/>
      <c r="I56" s="69"/>
      <c r="J56" s="16"/>
      <c r="K56" s="69"/>
      <c r="L56" s="16"/>
      <c r="M56" s="69"/>
      <c r="O56" s="69">
        <v>0</v>
      </c>
      <c r="Q56" s="16"/>
      <c r="R56" s="16"/>
      <c r="S56" s="16"/>
      <c r="T56" s="22"/>
      <c r="U56" s="1"/>
      <c r="V56" s="1"/>
      <c r="W56" s="1"/>
      <c r="X56" s="1"/>
      <c r="Y56" s="1"/>
      <c r="Z56" s="1"/>
      <c r="AA56" s="1"/>
    </row>
    <row r="57" spans="1:27" s="152" customFormat="1" ht="13.5">
      <c r="A57" s="161"/>
      <c r="B57" s="63"/>
      <c r="C57" s="63"/>
      <c r="D57" s="63"/>
      <c r="E57" s="63" t="s">
        <v>44</v>
      </c>
      <c r="F57" s="63"/>
      <c r="G57" s="63"/>
      <c r="I57" s="162"/>
      <c r="J57" s="63"/>
      <c r="K57" s="162"/>
      <c r="L57" s="63"/>
      <c r="M57" s="162"/>
      <c r="O57" s="162">
        <v>0</v>
      </c>
      <c r="Q57" s="63"/>
      <c r="R57" s="63"/>
      <c r="S57" s="63"/>
      <c r="T57" s="163"/>
      <c r="U57" s="154"/>
      <c r="V57" s="154"/>
      <c r="W57" s="154"/>
      <c r="X57" s="154"/>
      <c r="Y57" s="154"/>
      <c r="Z57" s="154"/>
      <c r="AA57" s="154"/>
    </row>
    <row r="58" spans="1:27" s="152" customFormat="1" ht="13.5">
      <c r="A58" s="161"/>
      <c r="B58" s="63"/>
      <c r="C58" s="63"/>
      <c r="D58" s="63"/>
      <c r="E58" s="63" t="s">
        <v>45</v>
      </c>
      <c r="F58" s="63"/>
      <c r="G58" s="63"/>
      <c r="I58" s="162"/>
      <c r="J58" s="63"/>
      <c r="K58" s="162"/>
      <c r="L58" s="63"/>
      <c r="M58" s="162"/>
      <c r="O58" s="162">
        <v>0</v>
      </c>
      <c r="Q58" s="63"/>
      <c r="R58" s="63"/>
      <c r="S58" s="63"/>
      <c r="T58" s="163"/>
      <c r="U58" s="154"/>
      <c r="V58" s="154"/>
      <c r="W58" s="154"/>
      <c r="X58" s="154"/>
      <c r="Y58" s="154"/>
      <c r="Z58" s="154"/>
      <c r="AA58" s="154"/>
    </row>
    <row r="59" spans="1:27" s="14" customFormat="1" ht="13.5">
      <c r="A59" s="20"/>
      <c r="B59" s="16"/>
      <c r="C59" s="16"/>
      <c r="D59" s="16"/>
      <c r="E59" s="16"/>
      <c r="F59" s="16"/>
      <c r="G59" s="16"/>
      <c r="I59" s="16"/>
      <c r="J59" s="16"/>
      <c r="K59" s="16"/>
      <c r="L59" s="16"/>
      <c r="M59" s="16"/>
      <c r="O59" s="16"/>
      <c r="Q59" s="16"/>
      <c r="R59" s="16"/>
      <c r="S59" s="16"/>
      <c r="T59" s="22"/>
      <c r="U59" s="1"/>
      <c r="V59" s="1"/>
      <c r="W59" s="1"/>
      <c r="X59" s="1"/>
      <c r="Y59" s="1"/>
      <c r="Z59" s="1"/>
      <c r="AA59" s="1"/>
    </row>
    <row r="60" spans="1:27" s="14" customFormat="1" ht="13.5">
      <c r="A60" s="20"/>
      <c r="B60" s="16"/>
      <c r="C60" s="16"/>
      <c r="D60" s="16" t="s">
        <v>46</v>
      </c>
      <c r="E60" s="16"/>
      <c r="F60" s="16"/>
      <c r="G60" s="16"/>
      <c r="I60" s="16"/>
      <c r="J60" s="16"/>
      <c r="K60" s="16"/>
      <c r="L60" s="16"/>
      <c r="M60" s="16"/>
      <c r="O60" s="16"/>
      <c r="Q60" s="16"/>
      <c r="R60" s="16"/>
      <c r="S60" s="16"/>
      <c r="T60" s="22"/>
      <c r="U60" s="1"/>
      <c r="V60" s="1"/>
      <c r="W60" s="1"/>
      <c r="X60" s="1"/>
      <c r="Y60" s="1"/>
      <c r="Z60" s="1"/>
      <c r="AA60" s="1"/>
    </row>
    <row r="61" spans="1:27" s="14" customFormat="1" ht="13.5">
      <c r="A61" s="20"/>
      <c r="B61" s="16"/>
      <c r="C61" s="16"/>
      <c r="D61" s="47" t="s">
        <v>46</v>
      </c>
      <c r="E61" s="16" t="s">
        <v>47</v>
      </c>
      <c r="F61" s="16"/>
      <c r="G61" s="16"/>
      <c r="I61" s="69"/>
      <c r="J61" s="16"/>
      <c r="K61" s="69"/>
      <c r="L61" s="16"/>
      <c r="M61" s="69"/>
      <c r="O61" s="69">
        <v>0</v>
      </c>
      <c r="Q61" s="16"/>
      <c r="R61" s="16"/>
      <c r="S61" s="16"/>
      <c r="T61" s="22"/>
      <c r="U61" s="1"/>
      <c r="V61" s="1"/>
      <c r="W61" s="1"/>
      <c r="X61" s="1"/>
      <c r="Y61" s="1"/>
      <c r="Z61" s="1"/>
      <c r="AA61" s="1"/>
    </row>
    <row r="62" spans="1:27" s="14" customFormat="1" ht="13.5">
      <c r="A62" s="20"/>
      <c r="B62" s="16"/>
      <c r="C62" s="16"/>
      <c r="D62" s="16"/>
      <c r="E62" s="16" t="s">
        <v>48</v>
      </c>
      <c r="F62" s="16"/>
      <c r="G62" s="16"/>
      <c r="I62" s="69"/>
      <c r="J62" s="16"/>
      <c r="K62" s="69"/>
      <c r="L62" s="16"/>
      <c r="M62" s="69">
        <v>0</v>
      </c>
      <c r="O62" s="69">
        <v>7677</v>
      </c>
      <c r="Q62" s="16"/>
      <c r="R62" s="16"/>
      <c r="S62" s="16"/>
      <c r="T62" s="22"/>
      <c r="U62" s="1"/>
      <c r="V62" s="1"/>
      <c r="W62" s="1"/>
      <c r="X62" s="1"/>
      <c r="Y62" s="1"/>
      <c r="Z62" s="1"/>
      <c r="AA62" s="1"/>
    </row>
    <row r="63" spans="1:27" s="14" customFormat="1" ht="13.5">
      <c r="A63" s="20"/>
      <c r="B63" s="16"/>
      <c r="C63" s="16"/>
      <c r="D63" s="16"/>
      <c r="E63" s="16" t="s">
        <v>49</v>
      </c>
      <c r="F63" s="16"/>
      <c r="G63" s="16"/>
      <c r="I63" s="69"/>
      <c r="J63" s="16"/>
      <c r="K63" s="69"/>
      <c r="L63" s="16"/>
      <c r="M63" s="69"/>
      <c r="O63" s="69">
        <v>4445</v>
      </c>
      <c r="Q63" s="16"/>
      <c r="R63" s="16"/>
      <c r="S63" s="16"/>
      <c r="T63" s="22"/>
      <c r="U63" s="1"/>
      <c r="V63" s="1"/>
      <c r="W63" s="1"/>
      <c r="X63" s="1"/>
      <c r="Y63" s="1"/>
      <c r="Z63" s="1"/>
      <c r="AA63" s="1"/>
    </row>
    <row r="64" spans="1:27" s="14" customFormat="1" ht="13.5">
      <c r="A64" s="20"/>
      <c r="B64" s="16"/>
      <c r="C64" s="16"/>
      <c r="D64" s="16"/>
      <c r="E64" s="16" t="s">
        <v>50</v>
      </c>
      <c r="F64" s="16"/>
      <c r="G64" s="16"/>
      <c r="I64" s="69"/>
      <c r="J64" s="16"/>
      <c r="K64" s="69"/>
      <c r="L64" s="16"/>
      <c r="M64" s="69"/>
      <c r="O64" s="69">
        <v>0</v>
      </c>
      <c r="Q64" s="16"/>
      <c r="R64" s="16"/>
      <c r="S64" s="16"/>
      <c r="T64" s="22"/>
      <c r="U64" s="1"/>
      <c r="V64" s="1"/>
      <c r="W64" s="1"/>
      <c r="X64" s="1"/>
      <c r="Y64" s="1"/>
      <c r="Z64" s="1"/>
      <c r="AA64" s="1"/>
    </row>
    <row r="65" spans="1:27" s="152" customFormat="1" ht="13.5">
      <c r="A65" s="161"/>
      <c r="B65" s="63"/>
      <c r="C65" s="63"/>
      <c r="D65" s="63"/>
      <c r="E65" s="63" t="s">
        <v>51</v>
      </c>
      <c r="F65" s="63"/>
      <c r="G65" s="63"/>
      <c r="I65" s="162"/>
      <c r="J65" s="63"/>
      <c r="K65" s="162"/>
      <c r="L65" s="63"/>
      <c r="M65" s="162"/>
      <c r="O65" s="162">
        <v>4109</v>
      </c>
      <c r="Q65" s="63"/>
      <c r="R65" s="63"/>
      <c r="S65" s="63"/>
      <c r="T65" s="163"/>
      <c r="U65" s="154"/>
      <c r="V65" s="154"/>
      <c r="W65" s="154"/>
      <c r="X65" s="154"/>
      <c r="Y65" s="154"/>
      <c r="Z65" s="154"/>
      <c r="AA65" s="154"/>
    </row>
    <row r="66" spans="1:27" s="14" customFormat="1" ht="13.5">
      <c r="A66" s="20"/>
      <c r="B66" s="16"/>
      <c r="C66" s="16"/>
      <c r="D66" s="16"/>
      <c r="E66" s="16" t="s">
        <v>52</v>
      </c>
      <c r="F66" s="16"/>
      <c r="G66" s="16"/>
      <c r="I66" s="69"/>
      <c r="J66" s="16"/>
      <c r="K66" s="69"/>
      <c r="L66" s="16"/>
      <c r="M66" s="69"/>
      <c r="O66" s="69">
        <v>0</v>
      </c>
      <c r="Q66" s="16"/>
      <c r="R66" s="16"/>
      <c r="S66" s="16"/>
      <c r="T66" s="22"/>
      <c r="U66" s="1"/>
      <c r="V66" s="1"/>
      <c r="W66" s="1"/>
      <c r="X66" s="1"/>
      <c r="Y66" s="1"/>
      <c r="Z66" s="1"/>
      <c r="AA66" s="1"/>
    </row>
    <row r="67" spans="1:27" s="14" customFormat="1" ht="13.5">
      <c r="A67" s="20"/>
      <c r="B67" s="16"/>
      <c r="C67" s="16"/>
      <c r="D67" s="16"/>
      <c r="E67" s="16" t="s">
        <v>53</v>
      </c>
      <c r="F67" s="16"/>
      <c r="G67" s="16"/>
      <c r="I67" s="69"/>
      <c r="J67" s="16"/>
      <c r="K67" s="69"/>
      <c r="L67" s="16"/>
      <c r="M67" s="69"/>
      <c r="O67" s="69">
        <v>2359</v>
      </c>
      <c r="Q67" s="16"/>
      <c r="R67" s="16"/>
      <c r="S67" s="16"/>
      <c r="T67" s="22"/>
      <c r="U67" s="1"/>
      <c r="V67" s="1"/>
      <c r="W67" s="1"/>
      <c r="X67" s="1"/>
      <c r="Y67" s="1"/>
      <c r="Z67" s="1"/>
      <c r="AA67" s="1"/>
    </row>
    <row r="68" spans="1:27" s="14" customFormat="1" ht="13.5">
      <c r="A68" s="20"/>
      <c r="B68" s="16"/>
      <c r="C68" s="16"/>
      <c r="D68" s="16"/>
      <c r="E68" s="16" t="s">
        <v>54</v>
      </c>
      <c r="F68" s="16"/>
      <c r="G68" s="16"/>
      <c r="I68" s="69"/>
      <c r="J68" s="16"/>
      <c r="K68" s="69"/>
      <c r="L68" s="16"/>
      <c r="M68" s="69"/>
      <c r="O68" s="69">
        <v>0</v>
      </c>
      <c r="Q68" s="16"/>
      <c r="R68" s="16"/>
      <c r="S68" s="16"/>
      <c r="T68" s="22"/>
      <c r="U68" s="1"/>
      <c r="V68" s="1"/>
      <c r="W68" s="1"/>
      <c r="X68" s="1"/>
      <c r="Y68" s="1"/>
      <c r="Z68" s="1"/>
      <c r="AA68" s="1"/>
    </row>
    <row r="69" spans="1:27" s="14" customFormat="1" ht="13.5">
      <c r="A69" s="20"/>
      <c r="B69" s="16"/>
      <c r="C69" s="16"/>
      <c r="D69" s="16"/>
      <c r="E69" s="16" t="s">
        <v>55</v>
      </c>
      <c r="F69" s="16"/>
      <c r="G69" s="16"/>
      <c r="I69" s="69"/>
      <c r="J69" s="16"/>
      <c r="K69" s="69"/>
      <c r="L69" s="16"/>
      <c r="M69" s="69"/>
      <c r="O69" s="69">
        <v>8153</v>
      </c>
      <c r="Q69" s="16"/>
      <c r="R69" s="16"/>
      <c r="S69" s="16"/>
      <c r="T69" s="22"/>
      <c r="U69" s="1"/>
      <c r="V69" s="1"/>
      <c r="W69" s="1"/>
      <c r="X69" s="1"/>
      <c r="Y69" s="1"/>
      <c r="Z69" s="1"/>
      <c r="AA69" s="1"/>
    </row>
    <row r="70" spans="1:27" s="14" customFormat="1" ht="13.5">
      <c r="A70" s="20"/>
      <c r="B70" s="16"/>
      <c r="C70" s="16"/>
      <c r="D70" s="16" t="s">
        <v>56</v>
      </c>
      <c r="E70" s="16"/>
      <c r="F70" s="16"/>
      <c r="G70" s="16"/>
      <c r="I70" s="16"/>
      <c r="J70" s="16"/>
      <c r="K70" s="16"/>
      <c r="L70" s="16"/>
      <c r="M70" s="16"/>
      <c r="O70" s="16"/>
      <c r="Q70" s="16"/>
      <c r="R70" s="16"/>
      <c r="S70" s="16"/>
      <c r="T70" s="22"/>
      <c r="U70" s="1"/>
      <c r="V70" s="1"/>
      <c r="W70" s="1"/>
      <c r="X70" s="1"/>
      <c r="Y70" s="1"/>
      <c r="Z70" s="1"/>
      <c r="AA70" s="1"/>
    </row>
    <row r="71" spans="1:27" s="14" customFormat="1" ht="13.5">
      <c r="A71" s="20"/>
      <c r="B71" s="16"/>
      <c r="C71" s="16"/>
      <c r="D71" s="16"/>
      <c r="E71" s="16" t="s">
        <v>57</v>
      </c>
      <c r="F71" s="16"/>
      <c r="G71" s="16"/>
      <c r="I71" s="69"/>
      <c r="J71" s="16"/>
      <c r="K71" s="69"/>
      <c r="L71" s="16"/>
      <c r="M71" s="69"/>
      <c r="O71" s="69">
        <v>10901</v>
      </c>
      <c r="Q71" s="16"/>
      <c r="R71" s="16"/>
      <c r="S71" s="16"/>
      <c r="T71" s="22"/>
      <c r="U71" s="1"/>
      <c r="V71" s="1"/>
      <c r="W71" s="1"/>
      <c r="X71" s="1"/>
      <c r="Y71" s="1"/>
      <c r="Z71" s="1"/>
      <c r="AA71" s="1"/>
    </row>
    <row r="72" spans="1:27" s="14" customFormat="1" ht="13.5">
      <c r="A72" s="20"/>
      <c r="B72" s="16"/>
      <c r="C72" s="16"/>
      <c r="D72" s="16"/>
      <c r="E72" s="16" t="s">
        <v>58</v>
      </c>
      <c r="F72" s="16"/>
      <c r="G72" s="16"/>
      <c r="I72" s="69"/>
      <c r="J72" s="16"/>
      <c r="K72" s="69"/>
      <c r="L72" s="16"/>
      <c r="M72" s="69"/>
      <c r="O72" s="69">
        <v>10939</v>
      </c>
      <c r="Q72" s="16"/>
      <c r="R72" s="16"/>
      <c r="S72" s="16"/>
      <c r="T72" s="22"/>
      <c r="U72" s="1"/>
      <c r="V72" s="1"/>
      <c r="W72" s="1"/>
      <c r="X72" s="1"/>
      <c r="Y72" s="1"/>
      <c r="Z72" s="1"/>
      <c r="AA72" s="1"/>
    </row>
    <row r="73" spans="1:27" s="14" customFormat="1" ht="13.5">
      <c r="A73" s="20"/>
      <c r="B73" s="16"/>
      <c r="C73" s="16"/>
      <c r="D73" s="16"/>
      <c r="E73" s="16" t="s">
        <v>59</v>
      </c>
      <c r="F73" s="16"/>
      <c r="G73" s="16"/>
      <c r="I73" s="69"/>
      <c r="J73" s="16"/>
      <c r="K73" s="69"/>
      <c r="L73" s="16"/>
      <c r="M73" s="69"/>
      <c r="O73" s="69">
        <v>770</v>
      </c>
      <c r="Q73" s="16"/>
      <c r="R73" s="16"/>
      <c r="S73" s="16"/>
      <c r="T73" s="22"/>
      <c r="U73" s="1"/>
      <c r="V73" s="1"/>
      <c r="W73" s="1"/>
      <c r="X73" s="1"/>
      <c r="Y73" s="1"/>
      <c r="Z73" s="1"/>
      <c r="AA73" s="1"/>
    </row>
    <row r="74" spans="1:27" s="14" customFormat="1" ht="13.5">
      <c r="A74" s="20"/>
      <c r="B74" s="16"/>
      <c r="C74" s="16"/>
      <c r="D74" s="16"/>
      <c r="E74" s="16"/>
      <c r="F74" s="16"/>
      <c r="G74" s="16"/>
      <c r="I74" s="16"/>
      <c r="J74" s="16"/>
      <c r="K74" s="16"/>
      <c r="L74" s="16"/>
      <c r="M74" s="16"/>
      <c r="O74" s="16"/>
      <c r="Q74" s="16"/>
      <c r="R74" s="16"/>
      <c r="S74" s="16"/>
      <c r="T74" s="22"/>
      <c r="U74" s="1"/>
      <c r="V74" s="1"/>
      <c r="W74" s="1"/>
      <c r="X74" s="1"/>
      <c r="Y74" s="1"/>
      <c r="Z74" s="1"/>
      <c r="AA74" s="1"/>
    </row>
    <row r="75" spans="1:27" s="14" customFormat="1" ht="13.5">
      <c r="A75" s="20"/>
      <c r="B75" s="16"/>
      <c r="C75" s="16"/>
      <c r="D75" s="16" t="s">
        <v>60</v>
      </c>
      <c r="E75" s="16"/>
      <c r="F75" s="16"/>
      <c r="G75" s="16"/>
      <c r="I75" s="16"/>
      <c r="J75" s="16"/>
      <c r="K75" s="16"/>
      <c r="L75" s="16"/>
      <c r="M75" s="16"/>
      <c r="O75" s="16"/>
      <c r="Q75" s="16"/>
      <c r="R75" s="16"/>
      <c r="S75" s="16"/>
      <c r="T75" s="22"/>
      <c r="U75" s="1"/>
      <c r="V75" s="1"/>
      <c r="W75" s="1"/>
      <c r="X75" s="1"/>
      <c r="Y75" s="1"/>
      <c r="Z75" s="1"/>
      <c r="AA75" s="1"/>
    </row>
    <row r="76" spans="1:27" s="14" customFormat="1" ht="13.5">
      <c r="A76" s="20"/>
      <c r="B76" s="16"/>
      <c r="C76" s="16"/>
      <c r="D76" s="16"/>
      <c r="E76" s="16" t="s">
        <v>61</v>
      </c>
      <c r="F76" s="16"/>
      <c r="G76" s="16"/>
      <c r="I76" s="69"/>
      <c r="J76" s="16"/>
      <c r="K76" s="69"/>
      <c r="L76" s="16"/>
      <c r="M76" s="69"/>
      <c r="O76" s="69">
        <v>49365</v>
      </c>
      <c r="Q76" s="16"/>
      <c r="R76" s="16"/>
      <c r="S76" s="16"/>
      <c r="T76" s="22"/>
      <c r="U76" s="1"/>
      <c r="V76" s="1"/>
      <c r="W76" s="1"/>
      <c r="X76" s="1"/>
      <c r="Y76" s="1"/>
      <c r="Z76" s="1"/>
      <c r="AA76" s="1"/>
    </row>
    <row r="77" spans="1:27" s="14" customFormat="1" ht="13.5">
      <c r="A77" s="20"/>
      <c r="B77" s="16"/>
      <c r="C77" s="16"/>
      <c r="D77" s="16"/>
      <c r="E77" s="16" t="s">
        <v>62</v>
      </c>
      <c r="F77" s="16"/>
      <c r="G77" s="16"/>
      <c r="I77" s="69"/>
      <c r="J77" s="16"/>
      <c r="K77" s="69"/>
      <c r="L77" s="16"/>
      <c r="M77" s="69"/>
      <c r="O77" s="69">
        <v>2822</v>
      </c>
      <c r="Q77" s="16"/>
      <c r="R77" s="16"/>
      <c r="S77" s="16"/>
      <c r="T77" s="22"/>
      <c r="U77" s="1"/>
      <c r="V77" s="1"/>
      <c r="W77" s="1"/>
      <c r="X77" s="1"/>
      <c r="Y77" s="1"/>
      <c r="Z77" s="1"/>
      <c r="AA77" s="1"/>
    </row>
    <row r="78" spans="1:27" s="14" customFormat="1" ht="13.5">
      <c r="A78" s="20"/>
      <c r="B78" s="16"/>
      <c r="C78" s="16"/>
      <c r="D78" s="16"/>
      <c r="E78" s="16" t="s">
        <v>63</v>
      </c>
      <c r="F78" s="16"/>
      <c r="G78" s="16"/>
      <c r="I78" s="69"/>
      <c r="J78" s="16"/>
      <c r="K78" s="69"/>
      <c r="L78" s="16"/>
      <c r="M78" s="69"/>
      <c r="O78" s="69">
        <v>0</v>
      </c>
      <c r="Q78" s="16"/>
      <c r="R78" s="16"/>
      <c r="S78" s="16"/>
      <c r="T78" s="22"/>
      <c r="U78" s="1"/>
      <c r="V78" s="1"/>
      <c r="W78" s="1"/>
      <c r="X78" s="1"/>
      <c r="Y78" s="1"/>
      <c r="Z78" s="1"/>
      <c r="AA78" s="1"/>
    </row>
    <row r="79" spans="1:27" s="14" customFormat="1" ht="13.5">
      <c r="A79" s="20"/>
      <c r="B79" s="16"/>
      <c r="C79" s="16"/>
      <c r="D79" s="16"/>
      <c r="E79" s="16" t="s">
        <v>64</v>
      </c>
      <c r="F79" s="16"/>
      <c r="G79" s="16"/>
      <c r="I79" s="69"/>
      <c r="J79" s="16"/>
      <c r="K79" s="69"/>
      <c r="L79" s="16"/>
      <c r="M79" s="69"/>
      <c r="O79" s="69">
        <v>668</v>
      </c>
      <c r="Q79" s="16"/>
      <c r="R79" s="16"/>
      <c r="S79" s="16"/>
      <c r="T79" s="22"/>
      <c r="U79" s="1"/>
      <c r="V79" s="1"/>
      <c r="W79" s="1"/>
      <c r="X79" s="1"/>
      <c r="Y79" s="1"/>
      <c r="Z79" s="1"/>
      <c r="AA79" s="1"/>
    </row>
    <row r="80" spans="1:27" s="14" customFormat="1" ht="13.5">
      <c r="A80" s="20"/>
      <c r="B80" s="16"/>
      <c r="C80" s="16"/>
      <c r="D80" s="16"/>
      <c r="E80" s="16" t="s">
        <v>65</v>
      </c>
      <c r="F80" s="16"/>
      <c r="G80" s="16"/>
      <c r="I80" s="69"/>
      <c r="J80" s="16"/>
      <c r="K80" s="69"/>
      <c r="L80" s="16"/>
      <c r="M80" s="69"/>
      <c r="O80" s="69">
        <v>-16977</v>
      </c>
      <c r="Q80" s="16"/>
      <c r="R80" s="16"/>
      <c r="S80" s="16"/>
      <c r="T80" s="22"/>
      <c r="U80" s="1"/>
      <c r="V80" s="1"/>
      <c r="W80" s="1"/>
      <c r="X80" s="1"/>
      <c r="Y80" s="1"/>
      <c r="Z80" s="1"/>
      <c r="AA80" s="1"/>
    </row>
    <row r="81" spans="1:27" s="16" customFormat="1" ht="13.5" customHeight="1">
      <c r="A81" s="20"/>
      <c r="E81" s="16" t="s">
        <v>66</v>
      </c>
      <c r="H81" s="14"/>
      <c r="I81" s="69"/>
      <c r="K81" s="69"/>
      <c r="M81" s="69"/>
      <c r="N81" s="14"/>
      <c r="O81" s="69">
        <v>-1086</v>
      </c>
      <c r="P81" s="14"/>
      <c r="T81" s="22"/>
      <c r="U81" s="1"/>
      <c r="V81" s="1"/>
      <c r="W81" s="1"/>
      <c r="X81" s="1"/>
      <c r="Y81" s="1"/>
      <c r="Z81" s="1"/>
      <c r="AA81" s="1"/>
    </row>
    <row r="82" spans="1:27" s="16" customFormat="1" ht="13.5" customHeight="1" thickBot="1">
      <c r="A82" s="20"/>
      <c r="E82" s="16" t="s">
        <v>67</v>
      </c>
      <c r="H82" s="14"/>
      <c r="I82" s="138"/>
      <c r="K82" s="138"/>
      <c r="M82" s="138"/>
      <c r="N82" s="14"/>
      <c r="O82" s="138">
        <v>2427.925038</v>
      </c>
      <c r="P82" s="14"/>
      <c r="T82" s="22"/>
      <c r="U82" s="1"/>
      <c r="V82" s="1"/>
      <c r="W82" s="1"/>
      <c r="X82" s="1"/>
      <c r="Y82" s="1"/>
      <c r="Z82" s="1"/>
      <c r="AA82" s="1"/>
    </row>
    <row r="83" spans="1:27" s="16" customFormat="1" ht="14.25" thickTop="1">
      <c r="A83" s="18" t="str">
        <f>A36</f>
        <v>* Current or Post-Implementation Year</v>
      </c>
      <c r="B83" s="18"/>
      <c r="C83" s="18"/>
      <c r="D83" s="18"/>
      <c r="E83" s="18"/>
      <c r="F83" s="18"/>
      <c r="G83" s="18"/>
      <c r="H83" s="18"/>
      <c r="I83" s="18"/>
      <c r="J83" s="18"/>
      <c r="K83" s="18"/>
      <c r="L83" s="18"/>
      <c r="M83" s="18"/>
      <c r="N83" s="18"/>
      <c r="O83" s="18"/>
      <c r="P83" s="18"/>
      <c r="Q83" s="18"/>
      <c r="R83" s="18"/>
      <c r="S83" s="18"/>
      <c r="T83" s="18"/>
      <c r="U83" s="1"/>
      <c r="V83" s="1"/>
      <c r="W83" s="1"/>
      <c r="X83" s="1"/>
      <c r="Y83" s="1"/>
      <c r="Z83" s="1"/>
      <c r="AA83" s="1"/>
    </row>
    <row r="84" spans="1:27" s="14" customFormat="1" ht="16.5">
      <c r="A84" s="147"/>
      <c r="B84" s="16"/>
      <c r="C84" s="16"/>
      <c r="D84" s="16"/>
      <c r="E84" s="16"/>
      <c r="F84" s="16"/>
      <c r="G84" s="16"/>
      <c r="H84" s="16"/>
      <c r="I84" s="16"/>
      <c r="J84" s="16"/>
      <c r="K84" s="16"/>
      <c r="L84" s="16"/>
      <c r="M84" s="16"/>
      <c r="N84" s="16"/>
      <c r="O84" s="16"/>
      <c r="P84" s="16"/>
      <c r="Q84" s="16"/>
      <c r="R84" s="16"/>
      <c r="S84" s="16"/>
      <c r="T84" s="16"/>
      <c r="U84" s="1"/>
      <c r="V84" s="1"/>
      <c r="W84" s="1"/>
      <c r="X84" s="1"/>
      <c r="Y84" s="1"/>
      <c r="Z84" s="1"/>
      <c r="AA84" s="1"/>
    </row>
    <row r="85" spans="1:20" ht="17.25" thickBot="1">
      <c r="A85" s="233" t="s">
        <v>0</v>
      </c>
      <c r="B85" s="35"/>
      <c r="C85" s="35"/>
      <c r="D85" s="35"/>
      <c r="E85" s="35"/>
      <c r="F85" s="35"/>
      <c r="G85" s="35"/>
      <c r="H85" s="35"/>
      <c r="I85" s="35"/>
      <c r="J85" s="35"/>
      <c r="K85" s="35"/>
      <c r="L85" s="35"/>
      <c r="M85" s="35"/>
      <c r="N85" s="35"/>
      <c r="O85" s="35"/>
      <c r="P85" s="35"/>
      <c r="Q85" s="35"/>
      <c r="R85" s="35"/>
      <c r="S85" s="35"/>
      <c r="T85" s="29"/>
    </row>
    <row r="86" spans="1:20" ht="15.75" thickTop="1">
      <c r="A86" s="212" t="s">
        <v>68</v>
      </c>
      <c r="B86" s="38"/>
      <c r="C86" s="38"/>
      <c r="D86" s="38"/>
      <c r="E86" s="38"/>
      <c r="F86" s="38"/>
      <c r="G86" s="38"/>
      <c r="H86" s="38"/>
      <c r="I86" s="38"/>
      <c r="J86" s="38"/>
      <c r="K86" s="192" t="str">
        <f>K16</f>
        <v>Pre-Implementation</v>
      </c>
      <c r="L86" s="38"/>
      <c r="M86" s="183" t="str">
        <f>O16</f>
        <v>Base Year*</v>
      </c>
      <c r="N86" s="38"/>
      <c r="O86" s="38"/>
      <c r="P86" s="38"/>
      <c r="Q86" s="81" t="s">
        <v>69</v>
      </c>
      <c r="R86" s="38"/>
      <c r="S86" s="38"/>
      <c r="T86" s="39"/>
    </row>
    <row r="87" spans="1:20" ht="15.75" thickBot="1">
      <c r="A87" s="28"/>
      <c r="B87" s="40" t="s">
        <v>70</v>
      </c>
      <c r="C87" s="29"/>
      <c r="D87" s="29"/>
      <c r="E87" s="29"/>
      <c r="F87" s="29"/>
      <c r="G87" s="29"/>
      <c r="H87" s="29"/>
      <c r="I87" s="29"/>
      <c r="J87" s="142">
        <f>+I17</f>
        <v>33784.25</v>
      </c>
      <c r="K87" s="142">
        <f>+K17</f>
        <v>34149.5</v>
      </c>
      <c r="L87" s="142">
        <f>+M17</f>
        <v>34514.75</v>
      </c>
      <c r="M87" s="142">
        <f>+O17</f>
        <v>34880</v>
      </c>
      <c r="N87" s="142" t="s">
        <v>71</v>
      </c>
      <c r="O87" s="43">
        <f>+M87+365.25</f>
        <v>35245.25</v>
      </c>
      <c r="P87" s="43">
        <f>+O87+365.25</f>
        <v>35610.5</v>
      </c>
      <c r="Q87" s="43">
        <f>+P87+365.25</f>
        <v>35975.75</v>
      </c>
      <c r="R87" s="43">
        <f>+Q87+365.25</f>
        <v>36341</v>
      </c>
      <c r="S87" s="43">
        <f>+R87+365.25</f>
        <v>36706.25</v>
      </c>
      <c r="T87" s="32"/>
    </row>
    <row r="88" spans="1:20" ht="15">
      <c r="A88" s="28"/>
      <c r="B88" s="29"/>
      <c r="C88" s="44" t="s">
        <v>72</v>
      </c>
      <c r="D88" s="29"/>
      <c r="E88" s="29"/>
      <c r="F88" s="29"/>
      <c r="G88" s="29"/>
      <c r="H88" s="29"/>
      <c r="I88" s="29"/>
      <c r="J88" s="83"/>
      <c r="K88" s="175"/>
      <c r="L88" s="83"/>
      <c r="M88" s="84"/>
      <c r="N88" s="1"/>
      <c r="O88" s="29"/>
      <c r="P88" s="29"/>
      <c r="Q88" s="81"/>
      <c r="R88" s="29"/>
      <c r="S88" s="29"/>
      <c r="T88" s="32"/>
    </row>
    <row r="89" spans="1:20" ht="13.5">
      <c r="A89" s="28"/>
      <c r="B89" s="29"/>
      <c r="C89" s="29"/>
      <c r="D89" s="29"/>
      <c r="E89" s="29"/>
      <c r="F89" s="29"/>
      <c r="G89" s="29"/>
      <c r="H89" s="29"/>
      <c r="I89" s="29"/>
      <c r="J89" s="85"/>
      <c r="K89" s="85"/>
      <c r="L89" s="85"/>
      <c r="M89" s="86"/>
      <c r="N89" s="1"/>
      <c r="O89" s="29"/>
      <c r="P89" s="47"/>
      <c r="Q89" s="47"/>
      <c r="R89" s="47"/>
      <c r="S89" s="47"/>
      <c r="T89" s="32"/>
    </row>
    <row r="90" spans="1:20" ht="13.5">
      <c r="A90" s="28"/>
      <c r="B90" s="29"/>
      <c r="C90" s="29"/>
      <c r="D90" s="29" t="s">
        <v>73</v>
      </c>
      <c r="E90" s="29"/>
      <c r="F90" s="29"/>
      <c r="G90" s="29"/>
      <c r="H90" s="29"/>
      <c r="I90" s="29"/>
      <c r="J90" s="213"/>
      <c r="K90" s="217" t="e">
        <f>(K19-I19)/I19</f>
        <v>#DIV/0!</v>
      </c>
      <c r="L90" s="217" t="e">
        <f>(M19-K19)/K19</f>
        <v>#DIV/0!</v>
      </c>
      <c r="M90" s="217" t="e">
        <f>(M19-O19)/M19</f>
        <v>#DIV/0!</v>
      </c>
      <c r="N90" s="75"/>
      <c r="O90" s="126">
        <v>0.05</v>
      </c>
      <c r="P90" s="126">
        <f aca="true" t="shared" si="0" ref="P90:S92">O90</f>
        <v>0.05</v>
      </c>
      <c r="Q90" s="126">
        <f t="shared" si="0"/>
        <v>0.05</v>
      </c>
      <c r="R90" s="126">
        <f t="shared" si="0"/>
        <v>0.05</v>
      </c>
      <c r="S90" s="126">
        <f t="shared" si="0"/>
        <v>0.05</v>
      </c>
      <c r="T90" s="32"/>
    </row>
    <row r="91" spans="1:20" ht="13.5">
      <c r="A91" s="28"/>
      <c r="B91" s="29"/>
      <c r="C91" s="29"/>
      <c r="D91" s="29" t="str">
        <f>D28</f>
        <v>Other Controllable Expenses</v>
      </c>
      <c r="E91" s="29"/>
      <c r="F91" s="29"/>
      <c r="G91" s="29"/>
      <c r="H91" s="29"/>
      <c r="I91" s="29"/>
      <c r="J91" s="213"/>
      <c r="K91" s="213"/>
      <c r="L91" s="213">
        <f>M28</f>
        <v>0</v>
      </c>
      <c r="M91" s="214">
        <f>O28</f>
        <v>250</v>
      </c>
      <c r="N91" s="75"/>
      <c r="O91" s="68">
        <f>M91</f>
        <v>250</v>
      </c>
      <c r="P91" s="68">
        <f>O91</f>
        <v>250</v>
      </c>
      <c r="Q91" s="68">
        <f>P91</f>
        <v>250</v>
      </c>
      <c r="R91" s="68">
        <f>Q91</f>
        <v>250</v>
      </c>
      <c r="S91" s="68">
        <f>R91</f>
        <v>250</v>
      </c>
      <c r="T91" s="32"/>
    </row>
    <row r="92" spans="1:20" ht="13.5">
      <c r="A92" s="28"/>
      <c r="B92" s="29"/>
      <c r="C92" s="29"/>
      <c r="D92" s="29" t="s">
        <v>16</v>
      </c>
      <c r="E92" s="29"/>
      <c r="F92" s="29"/>
      <c r="G92" s="29"/>
      <c r="H92" s="29"/>
      <c r="I92" s="29"/>
      <c r="J92" s="215"/>
      <c r="K92" s="217" t="e">
        <f>I23-K23/K23</f>
        <v>#DIV/0!</v>
      </c>
      <c r="L92" s="217" t="e">
        <f>(K23-M23)/K23</f>
        <v>#DIV/0!</v>
      </c>
      <c r="M92" s="217" t="e">
        <f>(M23-O23)/M23</f>
        <v>#DIV/0!</v>
      </c>
      <c r="N92" s="75"/>
      <c r="O92" s="126">
        <v>0</v>
      </c>
      <c r="P92" s="126">
        <f t="shared" si="0"/>
        <v>0</v>
      </c>
      <c r="Q92" s="126">
        <f t="shared" si="0"/>
        <v>0</v>
      </c>
      <c r="R92" s="126">
        <f t="shared" si="0"/>
        <v>0</v>
      </c>
      <c r="S92" s="126">
        <f t="shared" si="0"/>
        <v>0</v>
      </c>
      <c r="T92" s="32"/>
    </row>
    <row r="93" spans="1:20" ht="13.5">
      <c r="A93" s="28"/>
      <c r="B93" s="29"/>
      <c r="C93" s="29"/>
      <c r="D93" s="29" t="str">
        <f>+D22</f>
        <v>Selling Expenses</v>
      </c>
      <c r="E93" s="29"/>
      <c r="F93" s="29"/>
      <c r="G93" s="29"/>
      <c r="H93" s="29"/>
      <c r="I93" s="29"/>
      <c r="J93" s="216"/>
      <c r="K93" s="217" t="e">
        <f>I22-K22/K22</f>
        <v>#DIV/0!</v>
      </c>
      <c r="L93" s="217" t="e">
        <f>(K22-M22)/K22</f>
        <v>#DIV/0!</v>
      </c>
      <c r="M93" s="217" t="e">
        <f>(M22-O22)/M22</f>
        <v>#DIV/0!</v>
      </c>
      <c r="N93" s="75"/>
      <c r="O93" s="70">
        <v>0</v>
      </c>
      <c r="P93" s="126">
        <f aca="true" t="shared" si="1" ref="P93:S94">O93</f>
        <v>0</v>
      </c>
      <c r="Q93" s="126">
        <f t="shared" si="1"/>
        <v>0</v>
      </c>
      <c r="R93" s="126">
        <f t="shared" si="1"/>
        <v>0</v>
      </c>
      <c r="S93" s="126">
        <f t="shared" si="1"/>
        <v>0</v>
      </c>
      <c r="T93" s="32"/>
    </row>
    <row r="94" spans="1:20" ht="13.5">
      <c r="A94" s="28"/>
      <c r="B94" s="29"/>
      <c r="C94" s="29"/>
      <c r="D94" s="29" t="s">
        <v>17</v>
      </c>
      <c r="E94" s="29"/>
      <c r="F94" s="29"/>
      <c r="G94" s="29"/>
      <c r="H94" s="29"/>
      <c r="I94" s="29"/>
      <c r="J94" s="215"/>
      <c r="K94" s="217" t="e">
        <f>I24-K24/K24</f>
        <v>#DIV/0!</v>
      </c>
      <c r="L94" s="217" t="e">
        <f>(K24-M24)/K24</f>
        <v>#DIV/0!</v>
      </c>
      <c r="M94" s="214" t="e">
        <f>(M24-O24)/M24</f>
        <v>#DIV/0!</v>
      </c>
      <c r="N94" s="75"/>
      <c r="O94" s="70">
        <v>0</v>
      </c>
      <c r="P94" s="126">
        <f t="shared" si="1"/>
        <v>0</v>
      </c>
      <c r="Q94" s="126">
        <f t="shared" si="1"/>
        <v>0</v>
      </c>
      <c r="R94" s="126">
        <f t="shared" si="1"/>
        <v>0</v>
      </c>
      <c r="S94" s="126">
        <f t="shared" si="1"/>
        <v>0</v>
      </c>
      <c r="T94" s="32"/>
    </row>
    <row r="95" spans="1:20" ht="13.5">
      <c r="A95" s="28"/>
      <c r="B95" s="1"/>
      <c r="C95" s="29"/>
      <c r="D95" s="29"/>
      <c r="E95" s="29"/>
      <c r="F95" s="29"/>
      <c r="G95" s="29"/>
      <c r="H95" s="29"/>
      <c r="I95" s="29"/>
      <c r="J95" s="88"/>
      <c r="K95" s="88"/>
      <c r="L95" s="88"/>
      <c r="M95" s="88"/>
      <c r="N95" s="1"/>
      <c r="O95" s="31"/>
      <c r="P95" s="31"/>
      <c r="Q95" s="31"/>
      <c r="R95" s="31"/>
      <c r="S95" s="31"/>
      <c r="T95" s="32"/>
    </row>
    <row r="96" spans="1:20" ht="15">
      <c r="A96" s="28"/>
      <c r="B96" s="40" t="s">
        <v>74</v>
      </c>
      <c r="C96" s="29"/>
      <c r="D96" s="29"/>
      <c r="E96" s="29"/>
      <c r="F96" s="29"/>
      <c r="G96" s="29"/>
      <c r="H96" s="29"/>
      <c r="I96" s="29"/>
      <c r="J96" s="88"/>
      <c r="K96" s="88"/>
      <c r="L96" s="88"/>
      <c r="M96" s="88"/>
      <c r="N96" s="1"/>
      <c r="O96" s="31"/>
      <c r="P96" s="31"/>
      <c r="Q96" s="31"/>
      <c r="R96" s="31"/>
      <c r="S96" s="31"/>
      <c r="T96" s="32"/>
    </row>
    <row r="97" spans="1:27" s="179" customFormat="1" ht="15">
      <c r="A97" s="177"/>
      <c r="B97" s="190"/>
      <c r="C97" s="157"/>
      <c r="D97" s="157" t="s">
        <v>22</v>
      </c>
      <c r="E97" s="157"/>
      <c r="F97" s="157"/>
      <c r="G97" s="157"/>
      <c r="H97" s="157"/>
      <c r="I97" s="157"/>
      <c r="J97" s="214">
        <f>I29</f>
        <v>0</v>
      </c>
      <c r="K97" s="214">
        <f>K29</f>
        <v>0</v>
      </c>
      <c r="L97" s="214">
        <f>M29</f>
        <v>0</v>
      </c>
      <c r="M97" s="214">
        <f>O29</f>
        <v>647</v>
      </c>
      <c r="N97" s="189"/>
      <c r="O97" s="189">
        <v>0</v>
      </c>
      <c r="P97" s="189">
        <f>O97</f>
        <v>0</v>
      </c>
      <c r="Q97" s="189">
        <f>P97</f>
        <v>0</v>
      </c>
      <c r="R97" s="189">
        <f>Q97</f>
        <v>0</v>
      </c>
      <c r="S97" s="189">
        <f>R97</f>
        <v>0</v>
      </c>
      <c r="T97" s="178"/>
      <c r="U97" s="154"/>
      <c r="V97" s="154"/>
      <c r="W97" s="154"/>
      <c r="X97" s="154"/>
      <c r="Y97" s="154"/>
      <c r="Z97" s="154"/>
      <c r="AA97" s="154"/>
    </row>
    <row r="98" spans="1:20" ht="13.5">
      <c r="A98" s="28"/>
      <c r="B98" s="29"/>
      <c r="C98" s="29"/>
      <c r="D98" s="29"/>
      <c r="E98" s="29"/>
      <c r="F98" s="29"/>
      <c r="G98" s="29"/>
      <c r="H98" s="29"/>
      <c r="I98" s="29"/>
      <c r="J98" s="85"/>
      <c r="K98" s="85"/>
      <c r="L98" s="85"/>
      <c r="M98" s="86"/>
      <c r="N98" s="1"/>
      <c r="O98" s="47"/>
      <c r="P98" s="47"/>
      <c r="Q98" s="47"/>
      <c r="R98" s="47"/>
      <c r="S98" s="47"/>
      <c r="T98" s="32"/>
    </row>
    <row r="99" spans="1:20" ht="13.5">
      <c r="A99" s="28"/>
      <c r="B99" s="29"/>
      <c r="C99" s="29"/>
      <c r="D99" s="29"/>
      <c r="E99" s="29"/>
      <c r="F99" s="29"/>
      <c r="G99" s="29"/>
      <c r="H99" s="29"/>
      <c r="I99" s="29"/>
      <c r="J99" s="85"/>
      <c r="K99" s="192" t="str">
        <f>K16</f>
        <v>Pre-Implementation</v>
      </c>
      <c r="L99" s="85"/>
      <c r="M99" s="86"/>
      <c r="N99" s="1"/>
      <c r="O99" s="47"/>
      <c r="P99" s="47"/>
      <c r="Q99" s="176" t="s">
        <v>75</v>
      </c>
      <c r="R99" s="47"/>
      <c r="S99" s="47"/>
      <c r="T99" s="32"/>
    </row>
    <row r="100" spans="1:27" s="179" customFormat="1" ht="13.5">
      <c r="A100" s="177"/>
      <c r="B100" s="157"/>
      <c r="C100" s="157"/>
      <c r="D100" s="157" t="s">
        <v>76</v>
      </c>
      <c r="E100" s="157"/>
      <c r="F100" s="157"/>
      <c r="G100" s="157"/>
      <c r="H100" s="157"/>
      <c r="I100" s="157"/>
      <c r="J100" s="218" t="str">
        <f>IF(J20=0,"N/A",1-(J21/J20))</f>
        <v>N/A</v>
      </c>
      <c r="K100" s="218" t="str">
        <f>IF(K20=0,"N/A",1-(K21/K20))</f>
        <v>N/A</v>
      </c>
      <c r="L100" s="218" t="str">
        <f>IF(M20=0,"N/A",1-(M21/M20))</f>
        <v>N/A</v>
      </c>
      <c r="M100" s="218">
        <f>IF(O20=0,"N/A",1-(O21/O20))</f>
        <v>0.46047603204718957</v>
      </c>
      <c r="N100" s="189"/>
      <c r="O100" s="189">
        <f>M100</f>
        <v>0.46047603204718957</v>
      </c>
      <c r="P100" s="189">
        <f>O100</f>
        <v>0.46047603204718957</v>
      </c>
      <c r="Q100" s="189">
        <f>P100</f>
        <v>0.46047603204718957</v>
      </c>
      <c r="R100" s="189">
        <f>Q100</f>
        <v>0.46047603204718957</v>
      </c>
      <c r="S100" s="189">
        <f>R100</f>
        <v>0.46047603204718957</v>
      </c>
      <c r="T100" s="178"/>
      <c r="U100" s="154"/>
      <c r="V100" s="154"/>
      <c r="W100" s="154"/>
      <c r="X100" s="154"/>
      <c r="Y100" s="154"/>
      <c r="Z100" s="154"/>
      <c r="AA100" s="154"/>
    </row>
    <row r="101" spans="1:27" s="29" customFormat="1" ht="13.5" customHeight="1">
      <c r="A101" s="28"/>
      <c r="D101" s="29" t="s">
        <v>77</v>
      </c>
      <c r="J101" s="218" t="e">
        <f>I21/I20</f>
        <v>#DIV/0!</v>
      </c>
      <c r="K101" s="218" t="e">
        <f>K21/K20</f>
        <v>#DIV/0!</v>
      </c>
      <c r="L101" s="218" t="e">
        <f>M21/M20</f>
        <v>#DIV/0!</v>
      </c>
      <c r="M101" s="217">
        <f>O21/O20</f>
        <v>0.5395239679528104</v>
      </c>
      <c r="N101" s="87"/>
      <c r="O101" s="89">
        <f>1-O100</f>
        <v>0.5395239679528104</v>
      </c>
      <c r="P101" s="89">
        <f>1-P100</f>
        <v>0.5395239679528104</v>
      </c>
      <c r="Q101" s="89">
        <f>1-Q100</f>
        <v>0.5395239679528104</v>
      </c>
      <c r="R101" s="89">
        <f>1-R100</f>
        <v>0.5395239679528104</v>
      </c>
      <c r="S101" s="89">
        <f>1-S100</f>
        <v>0.5395239679528104</v>
      </c>
      <c r="T101" s="32"/>
      <c r="U101" s="1"/>
      <c r="V101" s="1"/>
      <c r="W101" s="1"/>
      <c r="X101" s="1"/>
      <c r="Y101" s="1"/>
      <c r="Z101" s="1"/>
      <c r="AA101" s="1"/>
    </row>
    <row r="102" spans="1:27" s="29" customFormat="1" ht="14.25" thickBot="1">
      <c r="A102" s="34"/>
      <c r="B102" s="35"/>
      <c r="C102" s="35"/>
      <c r="D102" s="35"/>
      <c r="E102" s="35"/>
      <c r="F102" s="35"/>
      <c r="G102" s="35"/>
      <c r="H102" s="35"/>
      <c r="I102" s="35"/>
      <c r="J102" s="35"/>
      <c r="K102" s="35"/>
      <c r="L102" s="35"/>
      <c r="M102" s="35"/>
      <c r="N102" s="35"/>
      <c r="O102" s="35"/>
      <c r="P102" s="35"/>
      <c r="Q102" s="35"/>
      <c r="R102" s="35"/>
      <c r="S102" s="35"/>
      <c r="T102" s="36"/>
      <c r="U102" s="1"/>
      <c r="V102" s="1"/>
      <c r="W102" s="1"/>
      <c r="X102" s="1"/>
      <c r="Y102" s="1"/>
      <c r="Z102" s="1"/>
      <c r="AA102" s="1"/>
    </row>
    <row r="103" spans="1:27" s="29" customFormat="1" ht="13.5" customHeight="1" thickTop="1">
      <c r="A103" s="29" t="str">
        <f>A36</f>
        <v>* Current or Post-Implementation Year</v>
      </c>
      <c r="U103" s="1"/>
      <c r="V103" s="1"/>
      <c r="W103" s="1"/>
      <c r="X103" s="1"/>
      <c r="Y103" s="1"/>
      <c r="Z103" s="1"/>
      <c r="AA103" s="1"/>
    </row>
    <row r="104" spans="1:20" ht="17.25" thickBot="1">
      <c r="A104" s="233" t="s">
        <v>0</v>
      </c>
      <c r="B104" s="29"/>
      <c r="C104" s="29"/>
      <c r="D104" s="29"/>
      <c r="E104" s="29"/>
      <c r="F104" s="29"/>
      <c r="G104" s="29"/>
      <c r="H104" s="29"/>
      <c r="I104" s="29"/>
      <c r="J104" s="29"/>
      <c r="K104" s="29"/>
      <c r="L104" s="29"/>
      <c r="M104" s="29"/>
      <c r="N104" s="29"/>
      <c r="O104" s="29"/>
      <c r="P104" s="29"/>
      <c r="Q104" s="29"/>
      <c r="R104" s="29"/>
      <c r="S104" s="29"/>
      <c r="T104" s="29"/>
    </row>
    <row r="105" spans="1:20" ht="14.25" thickTop="1">
      <c r="A105" s="37"/>
      <c r="B105" s="38"/>
      <c r="C105" s="38"/>
      <c r="D105" s="38"/>
      <c r="E105" s="38"/>
      <c r="F105" s="38"/>
      <c r="G105" s="38"/>
      <c r="H105" s="38"/>
      <c r="I105" s="38"/>
      <c r="J105" s="182"/>
      <c r="K105" s="182" t="str">
        <f>K16</f>
        <v>Pre-Implementation</v>
      </c>
      <c r="L105" s="182"/>
      <c r="M105" s="38" t="str">
        <f>O16</f>
        <v>Base Year*</v>
      </c>
      <c r="N105" s="38"/>
      <c r="O105" s="38"/>
      <c r="P105" s="38"/>
      <c r="Q105" s="182" t="str">
        <f>Q86</f>
        <v>Post-Implementation Growth</v>
      </c>
      <c r="R105" s="38"/>
      <c r="S105" s="38"/>
      <c r="T105" s="39"/>
    </row>
    <row r="106" spans="1:20" ht="15.75" thickBot="1">
      <c r="A106" s="28"/>
      <c r="B106" s="40" t="s">
        <v>70</v>
      </c>
      <c r="C106" s="29"/>
      <c r="D106" s="29"/>
      <c r="E106" s="29"/>
      <c r="F106" s="29"/>
      <c r="G106" s="29"/>
      <c r="H106" s="29"/>
      <c r="I106" s="29"/>
      <c r="J106" s="142">
        <f>+I17</f>
        <v>33784.25</v>
      </c>
      <c r="K106" s="142">
        <f>+K17</f>
        <v>34149.5</v>
      </c>
      <c r="L106" s="142">
        <f>+M17</f>
        <v>34514.75</v>
      </c>
      <c r="M106" s="142">
        <f>+O17</f>
        <v>34880</v>
      </c>
      <c r="N106" s="142" t="str">
        <f>N87</f>
        <v>Benchmark</v>
      </c>
      <c r="O106" s="43">
        <f>+M106+365.25</f>
        <v>35245.25</v>
      </c>
      <c r="P106" s="43">
        <f>+O106+365.25</f>
        <v>35610.5</v>
      </c>
      <c r="Q106" s="43">
        <f>+P106+365.25</f>
        <v>35975.75</v>
      </c>
      <c r="R106" s="43">
        <f>+Q106+365.25</f>
        <v>36341</v>
      </c>
      <c r="S106" s="43">
        <f>+R106+365.25</f>
        <v>36706.25</v>
      </c>
      <c r="T106" s="32"/>
    </row>
    <row r="107" spans="1:20" ht="15">
      <c r="A107" s="28"/>
      <c r="B107" s="29"/>
      <c r="C107" s="44" t="s">
        <v>78</v>
      </c>
      <c r="D107" s="29"/>
      <c r="E107" s="29"/>
      <c r="F107" s="29"/>
      <c r="G107" s="29"/>
      <c r="H107" s="29"/>
      <c r="I107" s="29"/>
      <c r="J107" s="29"/>
      <c r="K107" s="29"/>
      <c r="L107" s="29"/>
      <c r="M107" s="1"/>
      <c r="N107" s="47"/>
      <c r="O107" s="29"/>
      <c r="P107" s="29"/>
      <c r="Q107" s="29"/>
      <c r="R107" s="29"/>
      <c r="S107" s="29"/>
      <c r="T107" s="32"/>
    </row>
    <row r="108" spans="1:20" ht="15">
      <c r="A108" s="28"/>
      <c r="B108" s="29"/>
      <c r="C108" s="44"/>
      <c r="D108" s="29"/>
      <c r="E108" s="29"/>
      <c r="F108" s="29"/>
      <c r="G108" s="29"/>
      <c r="H108" s="29"/>
      <c r="I108" s="29"/>
      <c r="J108" s="29"/>
      <c r="K108" s="29"/>
      <c r="L108" s="29"/>
      <c r="M108" s="1"/>
      <c r="N108" s="47"/>
      <c r="O108" s="29"/>
      <c r="P108" s="29"/>
      <c r="Q108" s="29"/>
      <c r="R108" s="29"/>
      <c r="S108" s="29"/>
      <c r="T108" s="32"/>
    </row>
    <row r="109" spans="1:20" ht="15">
      <c r="A109" s="28"/>
      <c r="B109" s="29"/>
      <c r="C109" s="44" t="s">
        <v>29</v>
      </c>
      <c r="D109" s="29"/>
      <c r="E109" s="29"/>
      <c r="F109" s="29"/>
      <c r="G109" s="29"/>
      <c r="H109" s="29"/>
      <c r="I109" s="29"/>
      <c r="J109" s="29"/>
      <c r="K109" s="29"/>
      <c r="L109" s="29"/>
      <c r="M109" s="1"/>
      <c r="N109" s="47"/>
      <c r="O109" s="29"/>
      <c r="P109" s="29"/>
      <c r="Q109" s="29"/>
      <c r="R109" s="29"/>
      <c r="S109" s="29"/>
      <c r="T109" s="32"/>
    </row>
    <row r="110" spans="1:20" ht="13.5">
      <c r="A110" s="28"/>
      <c r="B110" s="29"/>
      <c r="C110" s="29"/>
      <c r="D110" s="29" t="str">
        <f>+E42</f>
        <v>Accounts Receivable</v>
      </c>
      <c r="E110" s="29"/>
      <c r="F110" s="29"/>
      <c r="G110" s="29"/>
      <c r="H110" s="29"/>
      <c r="I110" s="29"/>
      <c r="J110" s="217" t="e">
        <f>I42/I19</f>
        <v>#DIV/0!</v>
      </c>
      <c r="K110" s="217" t="e">
        <f>K42/K19</f>
        <v>#DIV/0!</v>
      </c>
      <c r="L110" s="217" t="e">
        <f>M42/M19</f>
        <v>#DIV/0!</v>
      </c>
      <c r="M110" s="217">
        <f>O42/Statements!L$40</f>
        <v>0.08152593737001604</v>
      </c>
      <c r="N110" s="90"/>
      <c r="O110" s="186">
        <v>0</v>
      </c>
      <c r="P110" s="186">
        <f>O110</f>
        <v>0</v>
      </c>
      <c r="Q110" s="186">
        <f>P110</f>
        <v>0</v>
      </c>
      <c r="R110" s="186">
        <f>Q110</f>
        <v>0</v>
      </c>
      <c r="S110" s="186">
        <f>R110</f>
        <v>0</v>
      </c>
      <c r="T110" s="32"/>
    </row>
    <row r="111" spans="1:20" ht="13.5">
      <c r="A111" s="28"/>
      <c r="B111" s="29"/>
      <c r="C111" s="29"/>
      <c r="D111" s="29" t="str">
        <f>+E43</f>
        <v>Inventory</v>
      </c>
      <c r="E111" s="29"/>
      <c r="F111" s="29"/>
      <c r="G111" s="29"/>
      <c r="H111" s="29"/>
      <c r="I111" s="29"/>
      <c r="J111" s="217" t="e">
        <f>I43/I19</f>
        <v>#DIV/0!</v>
      </c>
      <c r="K111" s="217" t="e">
        <f>K43/K19</f>
        <v>#DIV/0!</v>
      </c>
      <c r="L111" s="217" t="e">
        <f>M43/M19</f>
        <v>#DIV/0!</v>
      </c>
      <c r="M111" s="217">
        <f>O43/Statements!L$40</f>
        <v>0.06503060193713234</v>
      </c>
      <c r="N111" s="90"/>
      <c r="O111" s="186">
        <v>0</v>
      </c>
      <c r="P111" s="186">
        <f aca="true" t="shared" si="2" ref="P111:S113">O111</f>
        <v>0</v>
      </c>
      <c r="Q111" s="186">
        <f t="shared" si="2"/>
        <v>0</v>
      </c>
      <c r="R111" s="186">
        <f t="shared" si="2"/>
        <v>0</v>
      </c>
      <c r="S111" s="186">
        <f t="shared" si="2"/>
        <v>0</v>
      </c>
      <c r="T111" s="32"/>
    </row>
    <row r="112" spans="1:20" ht="13.5">
      <c r="A112" s="28"/>
      <c r="B112" s="29"/>
      <c r="C112" s="29"/>
      <c r="D112" s="29" t="str">
        <f>+E44</f>
        <v>Prepaid Expenses</v>
      </c>
      <c r="E112" s="29"/>
      <c r="F112" s="29"/>
      <c r="G112" s="29"/>
      <c r="H112" s="29"/>
      <c r="I112" s="29"/>
      <c r="J112" s="217" t="e">
        <f>I44/I19</f>
        <v>#DIV/0!</v>
      </c>
      <c r="K112" s="217" t="e">
        <f>K44/K19</f>
        <v>#DIV/0!</v>
      </c>
      <c r="L112" s="217" t="e">
        <f>M44/M19</f>
        <v>#DIV/0!</v>
      </c>
      <c r="M112" s="217">
        <f>O44/Statements!L$40</f>
        <v>0.010398716501277556</v>
      </c>
      <c r="N112" s="90"/>
      <c r="O112" s="186">
        <v>0</v>
      </c>
      <c r="P112" s="186">
        <f t="shared" si="2"/>
        <v>0</v>
      </c>
      <c r="Q112" s="186">
        <f t="shared" si="2"/>
        <v>0</v>
      </c>
      <c r="R112" s="186">
        <f t="shared" si="2"/>
        <v>0</v>
      </c>
      <c r="S112" s="186">
        <f t="shared" si="2"/>
        <v>0</v>
      </c>
      <c r="T112" s="32"/>
    </row>
    <row r="113" spans="1:20" ht="13.5">
      <c r="A113" s="28"/>
      <c r="B113" s="29"/>
      <c r="C113" s="29"/>
      <c r="D113" s="29" t="str">
        <f>+E45</f>
        <v>Other Current Assets</v>
      </c>
      <c r="E113" s="29"/>
      <c r="F113" s="29"/>
      <c r="G113" s="29"/>
      <c r="H113" s="29"/>
      <c r="I113" s="29"/>
      <c r="J113" s="217" t="e">
        <f>I45/I19</f>
        <v>#DIV/0!</v>
      </c>
      <c r="K113" s="217" t="e">
        <f>K45/K19</f>
        <v>#DIV/0!</v>
      </c>
      <c r="L113" s="217" t="e">
        <f>M45/M19</f>
        <v>#DIV/0!</v>
      </c>
      <c r="M113" s="217">
        <f>O45/Statements!L$40</f>
        <v>0.05692554518985085</v>
      </c>
      <c r="N113" s="90"/>
      <c r="O113" s="186">
        <v>0</v>
      </c>
      <c r="P113" s="186">
        <f t="shared" si="2"/>
        <v>0</v>
      </c>
      <c r="Q113" s="186">
        <f t="shared" si="2"/>
        <v>0</v>
      </c>
      <c r="R113" s="186">
        <f t="shared" si="2"/>
        <v>0</v>
      </c>
      <c r="S113" s="186">
        <f t="shared" si="2"/>
        <v>0</v>
      </c>
      <c r="T113" s="32"/>
    </row>
    <row r="114" spans="1:20" ht="15">
      <c r="A114" s="28"/>
      <c r="B114" s="29"/>
      <c r="C114" s="44" t="s">
        <v>35</v>
      </c>
      <c r="D114" s="29"/>
      <c r="E114" s="29"/>
      <c r="F114" s="29"/>
      <c r="G114" s="29"/>
      <c r="H114" s="29"/>
      <c r="I114" s="29"/>
      <c r="J114" s="85"/>
      <c r="K114" s="85"/>
      <c r="L114" s="85"/>
      <c r="M114" s="91"/>
      <c r="N114" s="42"/>
      <c r="O114" s="29"/>
      <c r="P114" s="29"/>
      <c r="Q114" s="29"/>
      <c r="R114" s="29"/>
      <c r="S114" s="29"/>
      <c r="T114" s="32"/>
    </row>
    <row r="115" spans="1:20" ht="13.5">
      <c r="A115" s="28"/>
      <c r="B115" s="29"/>
      <c r="C115" s="29"/>
      <c r="D115" s="29" t="s">
        <v>79</v>
      </c>
      <c r="E115" s="29"/>
      <c r="F115" s="29"/>
      <c r="G115" s="29"/>
      <c r="H115" s="29"/>
      <c r="I115" s="29"/>
      <c r="J115" s="85"/>
      <c r="K115" s="85"/>
      <c r="L115" s="85"/>
      <c r="M115" s="91"/>
      <c r="N115" s="42"/>
      <c r="O115" s="29"/>
      <c r="P115" s="29"/>
      <c r="Q115" s="29"/>
      <c r="R115" s="29"/>
      <c r="S115" s="29"/>
      <c r="T115" s="32"/>
    </row>
    <row r="116" spans="1:20" ht="13.5">
      <c r="A116" s="28"/>
      <c r="B116" s="29"/>
      <c r="C116" s="29"/>
      <c r="D116" s="29"/>
      <c r="E116" s="29" t="str">
        <f>+E48</f>
        <v>Machinery and Equipment</v>
      </c>
      <c r="F116" s="29"/>
      <c r="G116" s="29"/>
      <c r="H116" s="29"/>
      <c r="I116" s="29"/>
      <c r="J116" s="219">
        <f>I48</f>
        <v>0</v>
      </c>
      <c r="K116" s="219">
        <f>K48</f>
        <v>0</v>
      </c>
      <c r="L116" s="219" t="e">
        <f>M48/Statements!K$40</f>
        <v>#DIV/0!</v>
      </c>
      <c r="M116" s="217">
        <f>O48/Statements!L$40</f>
        <v>0</v>
      </c>
      <c r="N116" s="78"/>
      <c r="O116" s="221">
        <v>0</v>
      </c>
      <c r="P116" s="222">
        <f aca="true" t="shared" si="3" ref="P116:S117">O116</f>
        <v>0</v>
      </c>
      <c r="Q116" s="222">
        <f t="shared" si="3"/>
        <v>0</v>
      </c>
      <c r="R116" s="222">
        <f t="shared" si="3"/>
        <v>0</v>
      </c>
      <c r="S116" s="222">
        <f t="shared" si="3"/>
        <v>0</v>
      </c>
      <c r="T116" s="32"/>
    </row>
    <row r="117" spans="1:20" ht="13.5">
      <c r="A117" s="28"/>
      <c r="B117" s="29"/>
      <c r="C117" s="29"/>
      <c r="D117" s="29"/>
      <c r="E117" s="29" t="str">
        <f>+E49</f>
        <v>Building  and Plant</v>
      </c>
      <c r="F117" s="29"/>
      <c r="G117" s="29"/>
      <c r="H117" s="29"/>
      <c r="I117" s="29"/>
      <c r="J117" s="219">
        <f>I49</f>
        <v>0</v>
      </c>
      <c r="K117" s="219">
        <f>K49</f>
        <v>0</v>
      </c>
      <c r="L117" s="219">
        <f>M49</f>
        <v>0</v>
      </c>
      <c r="M117" s="217">
        <f>O49/Statements!L$40</f>
        <v>0.7363717392596114</v>
      </c>
      <c r="N117" s="78"/>
      <c r="O117" s="221">
        <v>0</v>
      </c>
      <c r="P117" s="222">
        <f t="shared" si="3"/>
        <v>0</v>
      </c>
      <c r="Q117" s="222">
        <f t="shared" si="3"/>
        <v>0</v>
      </c>
      <c r="R117" s="222">
        <f t="shared" si="3"/>
        <v>0</v>
      </c>
      <c r="S117" s="222">
        <f t="shared" si="3"/>
        <v>0</v>
      </c>
      <c r="T117" s="32"/>
    </row>
    <row r="118" spans="1:20" ht="13.5">
      <c r="A118" s="28"/>
      <c r="B118" s="29"/>
      <c r="C118" s="29"/>
      <c r="D118" s="29" t="str">
        <f>+E52</f>
        <v>Other Noncurrent Assets </v>
      </c>
      <c r="E118" s="29"/>
      <c r="F118" s="29"/>
      <c r="G118" s="29"/>
      <c r="H118" s="29"/>
      <c r="I118" s="29"/>
      <c r="J118" s="215" t="e">
        <f>I52/I19</f>
        <v>#DIV/0!</v>
      </c>
      <c r="K118" s="215" t="e">
        <f>K52/K19</f>
        <v>#DIV/0!</v>
      </c>
      <c r="L118" s="215" t="e">
        <f>M52/M19</f>
        <v>#DIV/0!</v>
      </c>
      <c r="M118" s="217">
        <f>O52/Statements!L$40</f>
        <v>0.030114682987699804</v>
      </c>
      <c r="N118" s="90"/>
      <c r="O118" s="186">
        <v>0</v>
      </c>
      <c r="P118" s="186">
        <f>O118</f>
        <v>0</v>
      </c>
      <c r="Q118" s="186">
        <f>P118</f>
        <v>0</v>
      </c>
      <c r="R118" s="186">
        <f>Q118</f>
        <v>0</v>
      </c>
      <c r="S118" s="186">
        <f>R118</f>
        <v>0</v>
      </c>
      <c r="T118" s="32"/>
    </row>
    <row r="119" spans="1:20" ht="15">
      <c r="A119" s="28"/>
      <c r="B119" s="29"/>
      <c r="C119" s="44" t="s">
        <v>46</v>
      </c>
      <c r="D119" s="29"/>
      <c r="E119" s="29"/>
      <c r="F119" s="29"/>
      <c r="G119" s="29"/>
      <c r="H119" s="29"/>
      <c r="I119" s="29"/>
      <c r="J119" s="29"/>
      <c r="K119" s="29"/>
      <c r="L119" s="29"/>
      <c r="M119" s="29"/>
      <c r="N119" s="29"/>
      <c r="O119" s="29"/>
      <c r="P119" s="29"/>
      <c r="Q119" s="29"/>
      <c r="R119" s="29"/>
      <c r="S119" s="29"/>
      <c r="T119" s="32"/>
    </row>
    <row r="120" spans="1:20" ht="13.5">
      <c r="A120" s="28"/>
      <c r="B120" s="29"/>
      <c r="C120" s="29"/>
      <c r="D120" s="29" t="s">
        <v>47</v>
      </c>
      <c r="E120" s="29"/>
      <c r="F120" s="29"/>
      <c r="G120" s="29"/>
      <c r="H120" s="29"/>
      <c r="I120" s="29"/>
      <c r="J120" s="215">
        <f>I61</f>
        <v>0</v>
      </c>
      <c r="K120" s="215">
        <f>K61</f>
        <v>0</v>
      </c>
      <c r="L120" s="215">
        <f>M61</f>
        <v>0</v>
      </c>
      <c r="M120" s="215">
        <f>O61</f>
        <v>0</v>
      </c>
      <c r="N120" s="90"/>
      <c r="O120" s="184">
        <v>0</v>
      </c>
      <c r="P120" s="184">
        <f aca="true" t="shared" si="4" ref="P120:S126">O120</f>
        <v>0</v>
      </c>
      <c r="Q120" s="184">
        <f t="shared" si="4"/>
        <v>0</v>
      </c>
      <c r="R120" s="184">
        <f t="shared" si="4"/>
        <v>0</v>
      </c>
      <c r="S120" s="184">
        <f t="shared" si="4"/>
        <v>0</v>
      </c>
      <c r="T120" s="32"/>
    </row>
    <row r="121" spans="1:20" ht="13.5">
      <c r="A121" s="28"/>
      <c r="B121" s="29"/>
      <c r="C121" s="29"/>
      <c r="D121" s="29" t="str">
        <f>+E62</f>
        <v>Accounts Payable</v>
      </c>
      <c r="E121" s="29"/>
      <c r="F121" s="29"/>
      <c r="G121" s="29"/>
      <c r="H121" s="29"/>
      <c r="I121" s="29"/>
      <c r="J121" s="217" t="e">
        <f>I62/I19</f>
        <v>#DIV/0!</v>
      </c>
      <c r="K121" s="217" t="e">
        <f>K62/K19</f>
        <v>#DIV/0!</v>
      </c>
      <c r="L121" s="217" t="e">
        <f>M62/M19</f>
        <v>#DIV/0!</v>
      </c>
      <c r="M121" s="217">
        <f>O62/O19</f>
        <v>0.06903094118387569</v>
      </c>
      <c r="N121" s="90"/>
      <c r="O121" s="184">
        <v>0</v>
      </c>
      <c r="P121" s="184">
        <f t="shared" si="4"/>
        <v>0</v>
      </c>
      <c r="Q121" s="184">
        <f t="shared" si="4"/>
        <v>0</v>
      </c>
      <c r="R121" s="184">
        <f t="shared" si="4"/>
        <v>0</v>
      </c>
      <c r="S121" s="184">
        <f t="shared" si="4"/>
        <v>0</v>
      </c>
      <c r="T121" s="32"/>
    </row>
    <row r="122" spans="1:20" ht="13.5">
      <c r="A122" s="28"/>
      <c r="B122" s="29"/>
      <c r="C122" s="29"/>
      <c r="D122" s="29" t="s">
        <v>49</v>
      </c>
      <c r="E122" s="29"/>
      <c r="F122" s="29"/>
      <c r="G122" s="29"/>
      <c r="H122" s="29"/>
      <c r="I122" s="29"/>
      <c r="J122" s="214">
        <f>I63</f>
        <v>0</v>
      </c>
      <c r="K122" s="214">
        <f>K63</f>
        <v>0</v>
      </c>
      <c r="L122" s="214">
        <f>M63</f>
        <v>0</v>
      </c>
      <c r="M122" s="214">
        <f>O63</f>
        <v>4445</v>
      </c>
      <c r="N122" s="90"/>
      <c r="O122" s="184">
        <v>0</v>
      </c>
      <c r="P122" s="184">
        <f t="shared" si="4"/>
        <v>0</v>
      </c>
      <c r="Q122" s="184">
        <f t="shared" si="4"/>
        <v>0</v>
      </c>
      <c r="R122" s="184">
        <f t="shared" si="4"/>
        <v>0</v>
      </c>
      <c r="S122" s="184">
        <f t="shared" si="4"/>
        <v>0</v>
      </c>
      <c r="T122" s="32"/>
    </row>
    <row r="123" spans="1:27" s="179" customFormat="1" ht="13.5">
      <c r="A123" s="177"/>
      <c r="B123" s="157"/>
      <c r="C123" s="157"/>
      <c r="D123" s="157" t="s">
        <v>50</v>
      </c>
      <c r="E123" s="157"/>
      <c r="F123" s="157"/>
      <c r="G123" s="157"/>
      <c r="H123" s="157"/>
      <c r="I123" s="157"/>
      <c r="J123" s="217" t="e">
        <f>I64/I19</f>
        <v>#DIV/0!</v>
      </c>
      <c r="K123" s="217" t="e">
        <f>K64/K19</f>
        <v>#DIV/0!</v>
      </c>
      <c r="L123" s="217" t="e">
        <f>M64/M19</f>
        <v>#DIV/0!</v>
      </c>
      <c r="M123" s="217">
        <f>O64/O19</f>
        <v>0</v>
      </c>
      <c r="N123" s="151"/>
      <c r="O123" s="181">
        <v>0</v>
      </c>
      <c r="P123" s="184">
        <f t="shared" si="4"/>
        <v>0</v>
      </c>
      <c r="Q123" s="184">
        <f t="shared" si="4"/>
        <v>0</v>
      </c>
      <c r="R123" s="184">
        <f t="shared" si="4"/>
        <v>0</v>
      </c>
      <c r="S123" s="184">
        <f t="shared" si="4"/>
        <v>0</v>
      </c>
      <c r="T123" s="178"/>
      <c r="U123" s="154"/>
      <c r="V123" s="154"/>
      <c r="W123" s="154"/>
      <c r="X123" s="154"/>
      <c r="Y123" s="154"/>
      <c r="Z123" s="154"/>
      <c r="AA123" s="154"/>
    </row>
    <row r="124" spans="1:27" s="179" customFormat="1" ht="13.5">
      <c r="A124" s="177"/>
      <c r="B124" s="157"/>
      <c r="C124" s="157"/>
      <c r="D124" s="157" t="s">
        <v>80</v>
      </c>
      <c r="E124" s="157"/>
      <c r="F124" s="157"/>
      <c r="G124" s="157"/>
      <c r="H124" s="157"/>
      <c r="I124" s="157"/>
      <c r="J124" s="215">
        <f>I65</f>
        <v>0</v>
      </c>
      <c r="K124" s="215">
        <f>K65</f>
        <v>0</v>
      </c>
      <c r="L124" s="215">
        <f>M65</f>
        <v>0</v>
      </c>
      <c r="M124" s="215">
        <f>O65</f>
        <v>4109</v>
      </c>
      <c r="N124" s="151"/>
      <c r="O124" s="181">
        <v>0</v>
      </c>
      <c r="P124" s="181">
        <f t="shared" si="4"/>
        <v>0</v>
      </c>
      <c r="Q124" s="181">
        <f t="shared" si="4"/>
        <v>0</v>
      </c>
      <c r="R124" s="181">
        <f t="shared" si="4"/>
        <v>0</v>
      </c>
      <c r="S124" s="181">
        <f t="shared" si="4"/>
        <v>0</v>
      </c>
      <c r="T124" s="178"/>
      <c r="U124" s="154"/>
      <c r="V124" s="154"/>
      <c r="W124" s="154"/>
      <c r="X124" s="154"/>
      <c r="Y124" s="154"/>
      <c r="Z124" s="154"/>
      <c r="AA124" s="154"/>
    </row>
    <row r="125" spans="1:20" ht="13.5">
      <c r="A125" s="28"/>
      <c r="B125" s="29"/>
      <c r="C125" s="29"/>
      <c r="D125" s="29" t="str">
        <f>+E66</f>
        <v>Current Portion of Long Term Debt</v>
      </c>
      <c r="E125" s="29"/>
      <c r="F125" s="29"/>
      <c r="G125" s="29"/>
      <c r="H125" s="29"/>
      <c r="I125" s="29"/>
      <c r="J125" s="217" t="e">
        <f>I66/I19</f>
        <v>#DIV/0!</v>
      </c>
      <c r="K125" s="217" t="e">
        <f>K66/K19</f>
        <v>#DIV/0!</v>
      </c>
      <c r="L125" s="217" t="e">
        <f>M66/M19</f>
        <v>#DIV/0!</v>
      </c>
      <c r="M125" s="217">
        <f>O66/O19</f>
        <v>0</v>
      </c>
      <c r="N125" s="90"/>
      <c r="O125" s="184">
        <v>0</v>
      </c>
      <c r="P125" s="184">
        <f t="shared" si="4"/>
        <v>0</v>
      </c>
      <c r="Q125" s="184">
        <f t="shared" si="4"/>
        <v>0</v>
      </c>
      <c r="R125" s="184">
        <f t="shared" si="4"/>
        <v>0</v>
      </c>
      <c r="S125" s="184">
        <f t="shared" si="4"/>
        <v>0</v>
      </c>
      <c r="T125" s="32"/>
    </row>
    <row r="126" spans="1:27" s="179" customFormat="1" ht="13.5">
      <c r="A126" s="177"/>
      <c r="B126" s="157"/>
      <c r="C126" s="157"/>
      <c r="D126" s="157" t="str">
        <f>+E67</f>
        <v>Taxes Payable</v>
      </c>
      <c r="E126" s="157"/>
      <c r="F126" s="157"/>
      <c r="G126" s="157"/>
      <c r="H126" s="157"/>
      <c r="I126" s="157"/>
      <c r="J126" s="214">
        <f>I67</f>
        <v>0</v>
      </c>
      <c r="K126" s="214">
        <f>K67</f>
        <v>0</v>
      </c>
      <c r="L126" s="214">
        <f>M67</f>
        <v>0</v>
      </c>
      <c r="M126" s="214">
        <f>O67</f>
        <v>2359</v>
      </c>
      <c r="N126" s="151"/>
      <c r="O126" s="184">
        <v>0</v>
      </c>
      <c r="P126" s="184">
        <f t="shared" si="4"/>
        <v>0</v>
      </c>
      <c r="Q126" s="184">
        <f t="shared" si="4"/>
        <v>0</v>
      </c>
      <c r="R126" s="184">
        <f t="shared" si="4"/>
        <v>0</v>
      </c>
      <c r="S126" s="184">
        <f t="shared" si="4"/>
        <v>0</v>
      </c>
      <c r="T126" s="178"/>
      <c r="U126" s="154"/>
      <c r="V126" s="154"/>
      <c r="W126" s="154"/>
      <c r="X126" s="154"/>
      <c r="Y126" s="154"/>
      <c r="Z126" s="154"/>
      <c r="AA126" s="154"/>
    </row>
    <row r="127" spans="1:27" s="179" customFormat="1" ht="13.5">
      <c r="A127" s="177"/>
      <c r="B127" s="157"/>
      <c r="C127" s="157"/>
      <c r="D127" s="157" t="s">
        <v>54</v>
      </c>
      <c r="E127" s="157"/>
      <c r="F127" s="157"/>
      <c r="G127" s="157"/>
      <c r="H127" s="157"/>
      <c r="I127" s="157"/>
      <c r="J127" s="215">
        <f>I68</f>
        <v>0</v>
      </c>
      <c r="K127" s="215">
        <f>K68</f>
        <v>0</v>
      </c>
      <c r="L127" s="215">
        <f>M68</f>
        <v>0</v>
      </c>
      <c r="M127" s="215">
        <f>O68</f>
        <v>0</v>
      </c>
      <c r="N127" s="151"/>
      <c r="O127" s="181">
        <v>0</v>
      </c>
      <c r="P127" s="181">
        <f aca="true" t="shared" si="5" ref="P127:S131">O127</f>
        <v>0</v>
      </c>
      <c r="Q127" s="181">
        <f t="shared" si="5"/>
        <v>0</v>
      </c>
      <c r="R127" s="181">
        <f t="shared" si="5"/>
        <v>0</v>
      </c>
      <c r="S127" s="181">
        <f t="shared" si="5"/>
        <v>0</v>
      </c>
      <c r="T127" s="178"/>
      <c r="U127" s="154"/>
      <c r="V127" s="154"/>
      <c r="W127" s="154"/>
      <c r="X127" s="154"/>
      <c r="Y127" s="154"/>
      <c r="Z127" s="154"/>
      <c r="AA127" s="154"/>
    </row>
    <row r="128" spans="1:27" s="179" customFormat="1" ht="13.5">
      <c r="A128" s="177"/>
      <c r="B128" s="157"/>
      <c r="C128" s="157"/>
      <c r="D128" s="157" t="s">
        <v>55</v>
      </c>
      <c r="E128" s="157"/>
      <c r="F128" s="157"/>
      <c r="G128" s="157"/>
      <c r="H128" s="157"/>
      <c r="I128" s="157"/>
      <c r="J128" s="214">
        <f>I69</f>
        <v>0</v>
      </c>
      <c r="K128" s="214">
        <f>K69</f>
        <v>0</v>
      </c>
      <c r="L128" s="214">
        <f>M69</f>
        <v>0</v>
      </c>
      <c r="M128" s="214">
        <f>O69</f>
        <v>8153</v>
      </c>
      <c r="N128" s="151"/>
      <c r="O128" s="181">
        <v>0</v>
      </c>
      <c r="P128" s="181">
        <f t="shared" si="5"/>
        <v>0</v>
      </c>
      <c r="Q128" s="181">
        <f t="shared" si="5"/>
        <v>0</v>
      </c>
      <c r="R128" s="181">
        <f t="shared" si="5"/>
        <v>0</v>
      </c>
      <c r="S128" s="181">
        <f t="shared" si="5"/>
        <v>0</v>
      </c>
      <c r="T128" s="178"/>
      <c r="U128" s="154"/>
      <c r="V128" s="154"/>
      <c r="W128" s="154"/>
      <c r="X128" s="154"/>
      <c r="Y128" s="154"/>
      <c r="Z128" s="154"/>
      <c r="AA128" s="154"/>
    </row>
    <row r="129" spans="1:27" s="179" customFormat="1" ht="15">
      <c r="A129" s="177"/>
      <c r="B129" s="157"/>
      <c r="C129" s="180" t="s">
        <v>56</v>
      </c>
      <c r="D129" s="157"/>
      <c r="E129" s="157"/>
      <c r="F129" s="157"/>
      <c r="G129" s="157"/>
      <c r="H129" s="157"/>
      <c r="I129" s="157"/>
      <c r="J129" s="157"/>
      <c r="K129" s="157"/>
      <c r="L129" s="157"/>
      <c r="M129" s="157"/>
      <c r="N129" s="157"/>
      <c r="O129" s="157"/>
      <c r="P129" s="157"/>
      <c r="Q129" s="157"/>
      <c r="R129" s="157"/>
      <c r="S129" s="157"/>
      <c r="T129" s="178"/>
      <c r="U129" s="154"/>
      <c r="V129" s="154"/>
      <c r="W129" s="154"/>
      <c r="X129" s="154"/>
      <c r="Y129" s="154"/>
      <c r="Z129" s="154"/>
      <c r="AA129" s="154"/>
    </row>
    <row r="130" spans="1:20" ht="13.5">
      <c r="A130" s="28"/>
      <c r="B130" s="29"/>
      <c r="C130" s="29"/>
      <c r="D130" s="29" t="s">
        <v>81</v>
      </c>
      <c r="E130" s="29"/>
      <c r="F130" s="29"/>
      <c r="G130" s="29"/>
      <c r="H130" s="29"/>
      <c r="I130" s="29"/>
      <c r="J130" s="215">
        <f>I71</f>
        <v>0</v>
      </c>
      <c r="K130" s="215">
        <f>K71</f>
        <v>0</v>
      </c>
      <c r="L130" s="215">
        <f>M71</f>
        <v>0</v>
      </c>
      <c r="M130" s="215">
        <f>O71</f>
        <v>10901</v>
      </c>
      <c r="N130" s="90"/>
      <c r="O130" s="181">
        <v>0</v>
      </c>
      <c r="P130" s="181">
        <f t="shared" si="5"/>
        <v>0</v>
      </c>
      <c r="Q130" s="181">
        <f t="shared" si="5"/>
        <v>0</v>
      </c>
      <c r="R130" s="181">
        <f t="shared" si="5"/>
        <v>0</v>
      </c>
      <c r="S130" s="181">
        <f t="shared" si="5"/>
        <v>0</v>
      </c>
      <c r="T130" s="32"/>
    </row>
    <row r="131" spans="1:20" ht="13.5">
      <c r="A131" s="28"/>
      <c r="B131" s="29"/>
      <c r="C131" s="29"/>
      <c r="D131" s="29" t="str">
        <f>+E73</f>
        <v>Deferred Taxes Payable</v>
      </c>
      <c r="E131" s="29"/>
      <c r="F131" s="29"/>
      <c r="G131" s="29"/>
      <c r="H131" s="29"/>
      <c r="I131" s="29"/>
      <c r="J131" s="214">
        <f>I73</f>
        <v>0</v>
      </c>
      <c r="K131" s="214">
        <f>K73</f>
        <v>0</v>
      </c>
      <c r="L131" s="214">
        <f>M73</f>
        <v>0</v>
      </c>
      <c r="M131" s="214">
        <f>O73</f>
        <v>770</v>
      </c>
      <c r="N131" s="185"/>
      <c r="O131" s="181">
        <v>0</v>
      </c>
      <c r="P131" s="181">
        <f t="shared" si="5"/>
        <v>0</v>
      </c>
      <c r="Q131" s="181">
        <f t="shared" si="5"/>
        <v>0</v>
      </c>
      <c r="R131" s="181">
        <f t="shared" si="5"/>
        <v>0</v>
      </c>
      <c r="S131" s="181">
        <f t="shared" si="5"/>
        <v>0</v>
      </c>
      <c r="T131" s="32"/>
    </row>
    <row r="132" spans="1:20" ht="15">
      <c r="A132" s="28"/>
      <c r="B132" s="29"/>
      <c r="C132" s="44" t="s">
        <v>82</v>
      </c>
      <c r="D132" s="29"/>
      <c r="E132" s="29"/>
      <c r="F132" s="29"/>
      <c r="G132" s="29"/>
      <c r="H132" s="29"/>
      <c r="I132" s="29"/>
      <c r="J132" s="29"/>
      <c r="K132" s="29"/>
      <c r="L132" s="29"/>
      <c r="M132" s="29"/>
      <c r="N132" s="29"/>
      <c r="O132" s="29"/>
      <c r="P132" s="29"/>
      <c r="Q132" s="29"/>
      <c r="R132" s="29"/>
      <c r="S132" s="29"/>
      <c r="T132" s="32"/>
    </row>
    <row r="133" spans="1:20" ht="13.5">
      <c r="A133" s="28"/>
      <c r="B133" s="29"/>
      <c r="C133" s="29"/>
      <c r="D133" s="29" t="s">
        <v>64</v>
      </c>
      <c r="E133" s="29"/>
      <c r="F133" s="29"/>
      <c r="G133" s="29"/>
      <c r="H133" s="29"/>
      <c r="I133" s="29"/>
      <c r="J133" s="215">
        <f>I79</f>
        <v>0</v>
      </c>
      <c r="K133" s="215">
        <f>K79</f>
        <v>0</v>
      </c>
      <c r="L133" s="215">
        <f>M79</f>
        <v>0</v>
      </c>
      <c r="M133" s="215">
        <f>O79</f>
        <v>668</v>
      </c>
      <c r="N133" s="90"/>
      <c r="O133" s="185">
        <f>M133</f>
        <v>668</v>
      </c>
      <c r="P133" s="185">
        <f aca="true" t="shared" si="6" ref="P133:S134">O133</f>
        <v>668</v>
      </c>
      <c r="Q133" s="185">
        <f t="shared" si="6"/>
        <v>668</v>
      </c>
      <c r="R133" s="185">
        <f t="shared" si="6"/>
        <v>668</v>
      </c>
      <c r="S133" s="185">
        <f t="shared" si="6"/>
        <v>668</v>
      </c>
      <c r="T133" s="32"/>
    </row>
    <row r="134" spans="1:20" ht="13.5">
      <c r="A134" s="28"/>
      <c r="B134" s="29"/>
      <c r="C134" s="29"/>
      <c r="D134" s="29" t="s">
        <v>65</v>
      </c>
      <c r="E134" s="29"/>
      <c r="F134" s="29"/>
      <c r="G134" s="29"/>
      <c r="H134" s="29"/>
      <c r="I134" s="29"/>
      <c r="J134" s="215">
        <f>I80</f>
        <v>0</v>
      </c>
      <c r="K134" s="215">
        <f>K80</f>
        <v>0</v>
      </c>
      <c r="L134" s="215">
        <f>M80</f>
        <v>0</v>
      </c>
      <c r="M134" s="215">
        <f>O80</f>
        <v>-16977</v>
      </c>
      <c r="N134" s="90"/>
      <c r="O134" s="185">
        <f>M134</f>
        <v>-16977</v>
      </c>
      <c r="P134" s="185">
        <f t="shared" si="6"/>
        <v>-16977</v>
      </c>
      <c r="Q134" s="185">
        <f t="shared" si="6"/>
        <v>-16977</v>
      </c>
      <c r="R134" s="185">
        <f t="shared" si="6"/>
        <v>-16977</v>
      </c>
      <c r="S134" s="185">
        <f t="shared" si="6"/>
        <v>-16977</v>
      </c>
      <c r="T134" s="32"/>
    </row>
    <row r="135" spans="1:20" ht="15">
      <c r="A135" s="28"/>
      <c r="B135" s="29"/>
      <c r="C135" s="44" t="s">
        <v>83</v>
      </c>
      <c r="D135" s="29"/>
      <c r="E135" s="29"/>
      <c r="F135" s="29"/>
      <c r="G135" s="29"/>
      <c r="H135" s="29"/>
      <c r="I135" s="29"/>
      <c r="J135" s="85"/>
      <c r="K135" s="85"/>
      <c r="L135" s="85"/>
      <c r="M135" s="85"/>
      <c r="N135" s="85"/>
      <c r="O135" s="85"/>
      <c r="P135" s="85"/>
      <c r="Q135" s="85"/>
      <c r="R135" s="85"/>
      <c r="S135" s="85"/>
      <c r="T135" s="32"/>
    </row>
    <row r="136" spans="1:27" s="179" customFormat="1" ht="13.5">
      <c r="A136" s="177"/>
      <c r="B136" s="157"/>
      <c r="C136" s="157"/>
      <c r="D136" s="157" t="s">
        <v>84</v>
      </c>
      <c r="E136" s="157"/>
      <c r="F136" s="157"/>
      <c r="G136" s="157"/>
      <c r="H136" s="157"/>
      <c r="I136" s="157"/>
      <c r="J136" s="216"/>
      <c r="K136" s="216"/>
      <c r="L136" s="216"/>
      <c r="M136" s="217">
        <v>0.06</v>
      </c>
      <c r="N136" s="151"/>
      <c r="O136" s="86"/>
      <c r="P136" s="86"/>
      <c r="Q136" s="86"/>
      <c r="R136" s="86"/>
      <c r="S136" s="86"/>
      <c r="T136" s="178"/>
      <c r="U136" s="154"/>
      <c r="V136" s="154"/>
      <c r="W136" s="154"/>
      <c r="X136" s="154"/>
      <c r="Y136" s="154"/>
      <c r="Z136" s="154"/>
      <c r="AA136" s="154"/>
    </row>
    <row r="137" spans="1:27" s="179" customFormat="1" ht="13.5">
      <c r="A137" s="177"/>
      <c r="B137" s="157"/>
      <c r="C137" s="157"/>
      <c r="D137" s="157" t="s">
        <v>85</v>
      </c>
      <c r="E137" s="157"/>
      <c r="F137" s="157"/>
      <c r="G137" s="157"/>
      <c r="H137" s="157"/>
      <c r="I137" s="157"/>
      <c r="J137" s="216"/>
      <c r="K137" s="216"/>
      <c r="L137" s="216"/>
      <c r="M137" s="216"/>
      <c r="N137" s="151"/>
      <c r="O137" s="86"/>
      <c r="P137" s="86"/>
      <c r="Q137" s="86"/>
      <c r="R137" s="86"/>
      <c r="S137" s="86"/>
      <c r="T137" s="178"/>
      <c r="U137" s="154"/>
      <c r="V137" s="154"/>
      <c r="W137" s="154"/>
      <c r="X137" s="154"/>
      <c r="Y137" s="154"/>
      <c r="Z137" s="154"/>
      <c r="AA137" s="154"/>
    </row>
    <row r="138" spans="1:20" ht="13.5">
      <c r="A138" s="28"/>
      <c r="B138" s="29"/>
      <c r="C138" s="29"/>
      <c r="D138" s="29"/>
      <c r="E138" s="29"/>
      <c r="F138" s="29"/>
      <c r="G138" s="29"/>
      <c r="H138" s="29"/>
      <c r="I138" s="29"/>
      <c r="J138" s="41"/>
      <c r="K138" s="41"/>
      <c r="L138" s="41"/>
      <c r="M138" s="57"/>
      <c r="N138" s="47"/>
      <c r="O138" s="124"/>
      <c r="P138" s="124"/>
      <c r="Q138" s="124"/>
      <c r="R138" s="124"/>
      <c r="S138" s="124"/>
      <c r="T138" s="32"/>
    </row>
    <row r="139" spans="1:20" ht="13.5">
      <c r="A139" s="28"/>
      <c r="B139" s="29"/>
      <c r="C139" s="29"/>
      <c r="D139" s="29" t="s">
        <v>86</v>
      </c>
      <c r="E139" s="29"/>
      <c r="F139" s="48"/>
      <c r="G139" s="48"/>
      <c r="H139" s="48"/>
      <c r="I139" s="48"/>
      <c r="J139" s="48"/>
      <c r="K139" s="48"/>
      <c r="L139" s="48"/>
      <c r="M139" s="59">
        <v>365</v>
      </c>
      <c r="N139" s="47"/>
      <c r="O139" s="124"/>
      <c r="P139" s="124"/>
      <c r="Q139" s="124"/>
      <c r="R139" s="124"/>
      <c r="S139" s="124"/>
      <c r="T139" s="32"/>
    </row>
    <row r="140" spans="1:20" ht="14.25" thickBot="1">
      <c r="A140" s="34"/>
      <c r="B140" s="35"/>
      <c r="C140" s="35"/>
      <c r="D140" s="35"/>
      <c r="E140" s="35"/>
      <c r="F140" s="35"/>
      <c r="G140" s="35"/>
      <c r="H140" s="35"/>
      <c r="I140" s="35"/>
      <c r="J140" s="35"/>
      <c r="K140" s="35"/>
      <c r="L140" s="35"/>
      <c r="M140" s="35"/>
      <c r="N140" s="35"/>
      <c r="O140" s="35"/>
      <c r="P140" s="35"/>
      <c r="Q140" s="35"/>
      <c r="R140" s="35"/>
      <c r="S140" s="35"/>
      <c r="T140" s="36"/>
    </row>
    <row r="141" spans="1:20" ht="14.25" thickTop="1">
      <c r="A141" s="38" t="str">
        <f>A36</f>
        <v>* Current or Post-Implementation Year</v>
      </c>
      <c r="B141" s="29"/>
      <c r="C141" s="29"/>
      <c r="D141" s="29"/>
      <c r="E141" s="29"/>
      <c r="F141" s="29"/>
      <c r="G141" s="29"/>
      <c r="H141" s="29"/>
      <c r="I141" s="29"/>
      <c r="J141" s="29"/>
      <c r="K141" s="29"/>
      <c r="L141" s="29"/>
      <c r="M141" s="29"/>
      <c r="N141" s="29"/>
      <c r="O141" s="29"/>
      <c r="P141" s="29"/>
      <c r="Q141" s="29"/>
      <c r="R141" s="29"/>
      <c r="S141" s="29"/>
      <c r="T141" s="38"/>
    </row>
    <row r="142" spans="1:20" ht="17.25" thickBot="1">
      <c r="A142" s="233" t="s">
        <v>0</v>
      </c>
      <c r="B142" s="29"/>
      <c r="C142" s="29"/>
      <c r="D142" s="29"/>
      <c r="E142" s="29"/>
      <c r="F142" s="29"/>
      <c r="G142" s="29"/>
      <c r="H142" s="29"/>
      <c r="I142" s="29"/>
      <c r="J142" s="29"/>
      <c r="K142" s="29"/>
      <c r="L142" s="29"/>
      <c r="M142" s="29"/>
      <c r="N142" s="29"/>
      <c r="O142" s="29"/>
      <c r="P142" s="29"/>
      <c r="Q142" s="29"/>
      <c r="R142" s="29"/>
      <c r="S142" s="29"/>
      <c r="T142" s="29"/>
    </row>
    <row r="143" spans="1:20" ht="15.75" thickTop="1">
      <c r="A143" s="212" t="s">
        <v>87</v>
      </c>
      <c r="B143" s="38"/>
      <c r="C143" s="38"/>
      <c r="D143" s="38"/>
      <c r="E143" s="38"/>
      <c r="F143" s="38"/>
      <c r="G143" s="38"/>
      <c r="H143" s="38"/>
      <c r="I143" s="38"/>
      <c r="J143" s="38"/>
      <c r="K143" s="38"/>
      <c r="L143" s="38"/>
      <c r="M143" s="38"/>
      <c r="N143" s="38"/>
      <c r="O143" s="38"/>
      <c r="P143" s="38"/>
      <c r="Q143" s="38"/>
      <c r="R143" s="38"/>
      <c r="S143" s="38"/>
      <c r="T143" s="39"/>
    </row>
    <row r="144" spans="1:20" ht="15">
      <c r="A144" s="28"/>
      <c r="B144" s="40" t="s">
        <v>41</v>
      </c>
      <c r="C144" s="29"/>
      <c r="D144" s="29"/>
      <c r="E144" s="29"/>
      <c r="F144" s="29"/>
      <c r="G144" s="29"/>
      <c r="H144" s="81" t="s">
        <v>20</v>
      </c>
      <c r="I144" s="29"/>
      <c r="J144" s="81" t="s">
        <v>88</v>
      </c>
      <c r="K144" s="29"/>
      <c r="L144" s="220"/>
      <c r="M144" s="1"/>
      <c r="N144" s="1"/>
      <c r="O144" s="1"/>
      <c r="P144" s="1"/>
      <c r="Q144" s="29"/>
      <c r="R144" s="29"/>
      <c r="S144" s="29"/>
      <c r="T144" s="32"/>
    </row>
    <row r="145" spans="1:20" ht="13.5">
      <c r="A145" s="28"/>
      <c r="B145" s="29"/>
      <c r="C145" s="17"/>
      <c r="D145" s="29"/>
      <c r="E145" s="29"/>
      <c r="F145" s="29"/>
      <c r="G145" s="29"/>
      <c r="H145" s="82" t="s">
        <v>89</v>
      </c>
      <c r="I145" s="29"/>
      <c r="J145" s="82" t="s">
        <v>90</v>
      </c>
      <c r="K145" s="29"/>
      <c r="L145" s="220"/>
      <c r="M145" s="1"/>
      <c r="N145" s="1"/>
      <c r="O145" s="1"/>
      <c r="P145" s="1"/>
      <c r="Q145" s="29"/>
      <c r="R145" s="29"/>
      <c r="S145" s="29"/>
      <c r="T145" s="32"/>
    </row>
    <row r="146" spans="1:20" ht="13.5">
      <c r="A146" s="28"/>
      <c r="B146" s="29"/>
      <c r="C146" s="17"/>
      <c r="D146" s="29"/>
      <c r="E146" s="29"/>
      <c r="F146" s="29"/>
      <c r="G146" s="29"/>
      <c r="H146" s="81"/>
      <c r="I146" s="29"/>
      <c r="J146" s="29"/>
      <c r="K146" s="29"/>
      <c r="L146" s="29"/>
      <c r="M146" s="1"/>
      <c r="N146" s="1"/>
      <c r="O146" s="1"/>
      <c r="P146" s="1"/>
      <c r="Q146" s="29"/>
      <c r="R146" s="29"/>
      <c r="S146" s="29"/>
      <c r="T146" s="32"/>
    </row>
    <row r="147" spans="1:20" ht="13.5">
      <c r="A147" s="28"/>
      <c r="B147" s="29"/>
      <c r="C147" s="29" t="str">
        <f>+E55</f>
        <v>Deferred Fin./ License/Startup</v>
      </c>
      <c r="D147" s="29"/>
      <c r="E147" s="29"/>
      <c r="F147" s="29"/>
      <c r="G147" s="29"/>
      <c r="H147" s="59">
        <v>10</v>
      </c>
      <c r="I147" s="29"/>
      <c r="J147" s="70"/>
      <c r="K147" s="29"/>
      <c r="L147" s="29"/>
      <c r="M147" s="1"/>
      <c r="N147" s="1"/>
      <c r="O147" s="1"/>
      <c r="P147" s="1"/>
      <c r="Q147" s="29"/>
      <c r="R147" s="29"/>
      <c r="S147" s="29"/>
      <c r="T147" s="32"/>
    </row>
    <row r="148" spans="1:20" ht="13.5">
      <c r="A148" s="28"/>
      <c r="B148" s="29"/>
      <c r="C148" s="29"/>
      <c r="D148" s="29"/>
      <c r="E148" s="29"/>
      <c r="F148" s="29"/>
      <c r="G148" s="29"/>
      <c r="H148" s="29"/>
      <c r="I148" s="29"/>
      <c r="J148" s="30"/>
      <c r="K148" s="29"/>
      <c r="L148" s="29"/>
      <c r="M148" s="1"/>
      <c r="N148" s="1"/>
      <c r="O148" s="1"/>
      <c r="P148" s="1"/>
      <c r="Q148" s="29"/>
      <c r="R148" s="29"/>
      <c r="S148" s="29"/>
      <c r="T148" s="32"/>
    </row>
    <row r="149" spans="1:20" ht="13.5">
      <c r="A149" s="28"/>
      <c r="B149" s="29"/>
      <c r="C149" s="29" t="str">
        <f>+E56</f>
        <v>Goodwill</v>
      </c>
      <c r="D149" s="29"/>
      <c r="E149" s="29"/>
      <c r="F149" s="29"/>
      <c r="G149" s="29"/>
      <c r="H149" s="59">
        <v>40</v>
      </c>
      <c r="I149" s="29"/>
      <c r="J149" s="70"/>
      <c r="K149" s="29"/>
      <c r="L149" s="29"/>
      <c r="M149" s="1"/>
      <c r="N149" s="1"/>
      <c r="O149" s="1"/>
      <c r="P149" s="1"/>
      <c r="Q149" s="29"/>
      <c r="R149" s="29"/>
      <c r="S149" s="29"/>
      <c r="T149" s="32"/>
    </row>
    <row r="150" spans="1:20" ht="13.5">
      <c r="A150" s="28"/>
      <c r="B150" s="29"/>
      <c r="C150" s="29"/>
      <c r="D150" s="29"/>
      <c r="E150" s="29"/>
      <c r="F150" s="29"/>
      <c r="G150" s="29"/>
      <c r="H150" s="29"/>
      <c r="I150" s="29"/>
      <c r="J150" s="30"/>
      <c r="K150" s="29"/>
      <c r="L150" s="29"/>
      <c r="M150" s="1"/>
      <c r="N150" s="1"/>
      <c r="O150" s="1"/>
      <c r="P150" s="1"/>
      <c r="Q150" s="29"/>
      <c r="R150" s="29"/>
      <c r="S150" s="29"/>
      <c r="T150" s="32"/>
    </row>
    <row r="151" spans="1:20" ht="13.5">
      <c r="A151" s="28"/>
      <c r="B151" s="29"/>
      <c r="C151" s="29" t="s">
        <v>44</v>
      </c>
      <c r="D151" s="29"/>
      <c r="E151" s="29"/>
      <c r="F151" s="29"/>
      <c r="G151" s="29"/>
      <c r="H151" s="59">
        <v>5</v>
      </c>
      <c r="I151" s="29"/>
      <c r="J151" s="70"/>
      <c r="K151" s="29"/>
      <c r="L151" s="29"/>
      <c r="M151" s="1"/>
      <c r="N151" s="1"/>
      <c r="O151" s="1"/>
      <c r="P151" s="1"/>
      <c r="Q151" s="29"/>
      <c r="R151" s="29"/>
      <c r="S151" s="29"/>
      <c r="T151" s="32"/>
    </row>
    <row r="152" spans="1:20" ht="13.5">
      <c r="A152" s="28"/>
      <c r="B152" s="29"/>
      <c r="C152" s="29"/>
      <c r="D152" s="29"/>
      <c r="E152" s="29"/>
      <c r="F152" s="29"/>
      <c r="G152" s="29"/>
      <c r="H152" s="29"/>
      <c r="I152" s="29"/>
      <c r="J152" s="30"/>
      <c r="K152" s="29"/>
      <c r="L152" s="29"/>
      <c r="M152" s="1"/>
      <c r="N152" s="1"/>
      <c r="O152" s="1"/>
      <c r="P152" s="1"/>
      <c r="Q152" s="29"/>
      <c r="R152" s="29"/>
      <c r="S152" s="29"/>
      <c r="T152" s="32"/>
    </row>
    <row r="153" spans="1:20" ht="13.5">
      <c r="A153" s="28"/>
      <c r="B153" s="29"/>
      <c r="C153" s="29" t="s">
        <v>3</v>
      </c>
      <c r="D153" s="29"/>
      <c r="E153" s="29"/>
      <c r="F153" s="29"/>
      <c r="G153" s="29"/>
      <c r="H153" s="59">
        <v>10</v>
      </c>
      <c r="I153" s="29"/>
      <c r="J153" s="59"/>
      <c r="K153" s="29"/>
      <c r="L153" s="29"/>
      <c r="M153" s="1"/>
      <c r="N153" s="1"/>
      <c r="O153" s="1"/>
      <c r="P153" s="1"/>
      <c r="Q153" s="29"/>
      <c r="R153" s="29"/>
      <c r="S153" s="29"/>
      <c r="T153" s="32"/>
    </row>
    <row r="154" spans="1:20" ht="13.5">
      <c r="A154" s="28"/>
      <c r="B154" s="29"/>
      <c r="C154" s="29"/>
      <c r="D154" s="29"/>
      <c r="E154" s="29"/>
      <c r="F154" s="29"/>
      <c r="G154" s="29"/>
      <c r="H154" s="29"/>
      <c r="I154" s="29"/>
      <c r="J154" s="30"/>
      <c r="K154" s="29"/>
      <c r="L154" s="29"/>
      <c r="M154" s="1"/>
      <c r="N154" s="1"/>
      <c r="O154" s="1"/>
      <c r="P154" s="1"/>
      <c r="Q154" s="29"/>
      <c r="R154" s="29"/>
      <c r="S154" s="29"/>
      <c r="T154" s="32"/>
    </row>
    <row r="155" spans="1:20" ht="13.5">
      <c r="A155" s="28"/>
      <c r="B155" s="29"/>
      <c r="C155" s="29" t="str">
        <f>C11</f>
        <v>Project Fees</v>
      </c>
      <c r="D155" s="29"/>
      <c r="E155" s="29"/>
      <c r="F155" s="29"/>
      <c r="G155" s="29"/>
      <c r="H155" s="59">
        <v>10</v>
      </c>
      <c r="I155" s="29"/>
      <c r="J155" s="70">
        <v>1</v>
      </c>
      <c r="K155" s="29"/>
      <c r="L155" s="29"/>
      <c r="M155" s="1"/>
      <c r="N155" s="1"/>
      <c r="O155" s="1"/>
      <c r="P155" s="1"/>
      <c r="Q155" s="29"/>
      <c r="R155" s="29"/>
      <c r="S155" s="29"/>
      <c r="T155" s="32"/>
    </row>
    <row r="156" spans="1:20" ht="14.25" thickBot="1">
      <c r="A156" s="34"/>
      <c r="B156" s="35"/>
      <c r="C156" s="35"/>
      <c r="D156" s="35"/>
      <c r="E156" s="35"/>
      <c r="F156" s="35"/>
      <c r="G156" s="35"/>
      <c r="H156" s="35"/>
      <c r="I156" s="35"/>
      <c r="J156" s="35"/>
      <c r="K156" s="35"/>
      <c r="L156" s="35"/>
      <c r="M156" s="35"/>
      <c r="N156" s="35"/>
      <c r="O156" s="35"/>
      <c r="P156" s="35"/>
      <c r="Q156" s="35"/>
      <c r="R156" s="35"/>
      <c r="S156" s="35"/>
      <c r="T156" s="36"/>
    </row>
    <row r="157" spans="1:20" ht="15.75" thickTop="1">
      <c r="A157" s="212" t="s">
        <v>91</v>
      </c>
      <c r="B157" s="29"/>
      <c r="C157" s="29"/>
      <c r="D157" s="29"/>
      <c r="E157" s="29"/>
      <c r="F157" s="29"/>
      <c r="G157" s="29"/>
      <c r="H157" s="29"/>
      <c r="I157" s="29"/>
      <c r="J157" s="29"/>
      <c r="K157" s="29"/>
      <c r="L157" s="29"/>
      <c r="M157" s="29"/>
      <c r="N157" s="29"/>
      <c r="O157" s="29"/>
      <c r="P157" s="29"/>
      <c r="Q157" s="29"/>
      <c r="R157" s="29"/>
      <c r="S157" s="29"/>
      <c r="T157" s="39"/>
    </row>
    <row r="158" spans="1:20" ht="15">
      <c r="A158" s="28"/>
      <c r="B158" s="93" t="s">
        <v>92</v>
      </c>
      <c r="T158" s="32"/>
    </row>
    <row r="159" spans="1:20" ht="13.5">
      <c r="A159" s="28"/>
      <c r="T159" s="32"/>
    </row>
    <row r="160" spans="1:20" ht="13.5">
      <c r="A160" s="28"/>
      <c r="C160" s="33" t="s">
        <v>93</v>
      </c>
      <c r="G160" s="29"/>
      <c r="H160" s="94"/>
      <c r="I160" s="48"/>
      <c r="J160" s="48"/>
      <c r="K160" s="48"/>
      <c r="L160" s="70">
        <v>0.8607</v>
      </c>
      <c r="T160" s="32"/>
    </row>
    <row r="161" spans="1:20" ht="13.5">
      <c r="A161" s="28"/>
      <c r="G161" s="29"/>
      <c r="H161" s="17"/>
      <c r="I161" s="29"/>
      <c r="J161" s="29"/>
      <c r="K161" s="29"/>
      <c r="L161" s="30"/>
      <c r="T161" s="32"/>
    </row>
    <row r="162" spans="1:20" ht="13.5">
      <c r="A162" s="28"/>
      <c r="C162" s="33" t="s">
        <v>94</v>
      </c>
      <c r="G162" s="29"/>
      <c r="H162" s="94"/>
      <c r="I162" s="48"/>
      <c r="J162" s="48"/>
      <c r="K162" s="48"/>
      <c r="L162" s="70">
        <v>0.1</v>
      </c>
      <c r="T162" s="32"/>
    </row>
    <row r="163" spans="1:20" ht="13.5">
      <c r="A163" s="28"/>
      <c r="G163" s="29"/>
      <c r="H163" s="17"/>
      <c r="I163" s="29"/>
      <c r="J163" s="29"/>
      <c r="K163" s="29"/>
      <c r="L163" s="30"/>
      <c r="T163" s="32"/>
    </row>
    <row r="164" spans="1:20" ht="13.5">
      <c r="A164" s="28"/>
      <c r="C164" s="33" t="s">
        <v>95</v>
      </c>
      <c r="H164" s="94"/>
      <c r="I164" s="48"/>
      <c r="J164" s="48"/>
      <c r="K164" s="48"/>
      <c r="L164" s="70">
        <v>0</v>
      </c>
      <c r="T164" s="32"/>
    </row>
    <row r="165" spans="1:20" ht="13.5">
      <c r="A165" s="28"/>
      <c r="H165" s="1"/>
      <c r="T165" s="32"/>
    </row>
    <row r="166" spans="1:20" ht="13.5">
      <c r="A166" s="28"/>
      <c r="C166" s="33" t="s">
        <v>96</v>
      </c>
      <c r="H166" s="94"/>
      <c r="I166" s="48"/>
      <c r="J166" s="48"/>
      <c r="K166" s="48"/>
      <c r="L166" s="70">
        <v>0</v>
      </c>
      <c r="T166" s="32"/>
    </row>
    <row r="167" spans="1:20" ht="13.5">
      <c r="A167" s="28"/>
      <c r="T167" s="32"/>
    </row>
    <row r="168" spans="1:20" ht="13.5">
      <c r="A168" s="28"/>
      <c r="C168" s="33" t="s">
        <v>97</v>
      </c>
      <c r="N168" s="1"/>
      <c r="O168" s="1"/>
      <c r="P168" s="1"/>
      <c r="R168" s="1"/>
      <c r="S168" s="1"/>
      <c r="T168" s="32"/>
    </row>
    <row r="169" spans="1:20" ht="13.5">
      <c r="A169" s="28"/>
      <c r="D169" s="33" t="str">
        <f>+E48</f>
        <v>Machinery and Equipment</v>
      </c>
      <c r="G169" s="48"/>
      <c r="H169" s="48"/>
      <c r="I169" s="48"/>
      <c r="J169" s="48"/>
      <c r="K169" s="48"/>
      <c r="L169" s="77">
        <v>7</v>
      </c>
      <c r="N169" s="1"/>
      <c r="O169" s="1"/>
      <c r="P169" s="1"/>
      <c r="Q169" s="1"/>
      <c r="R169" s="1"/>
      <c r="S169" s="1"/>
      <c r="T169" s="32"/>
    </row>
    <row r="170" spans="1:20" ht="13.5">
      <c r="A170" s="28"/>
      <c r="D170" s="1"/>
      <c r="L170" s="79"/>
      <c r="N170" s="1"/>
      <c r="O170" s="1"/>
      <c r="P170" s="1"/>
      <c r="R170" s="1"/>
      <c r="S170" s="1"/>
      <c r="T170" s="139"/>
    </row>
    <row r="171" spans="1:20" ht="13.5">
      <c r="A171" s="28"/>
      <c r="D171" s="33" t="str">
        <f>+E49</f>
        <v>Building  and Plant</v>
      </c>
      <c r="G171" s="48"/>
      <c r="H171" s="48"/>
      <c r="I171" s="48"/>
      <c r="J171" s="48"/>
      <c r="K171" s="48"/>
      <c r="L171" s="77">
        <v>15</v>
      </c>
      <c r="N171" s="1"/>
      <c r="O171" s="1"/>
      <c r="P171" s="1"/>
      <c r="Q171" s="95"/>
      <c r="R171" s="1"/>
      <c r="S171" s="1"/>
      <c r="T171" s="139"/>
    </row>
    <row r="172" spans="1:20" ht="13.5">
      <c r="A172" s="28"/>
      <c r="L172" s="79"/>
      <c r="N172" s="1"/>
      <c r="O172" s="1"/>
      <c r="P172" s="1"/>
      <c r="Q172" s="96"/>
      <c r="R172" s="1"/>
      <c r="S172" s="1"/>
      <c r="T172" s="140"/>
    </row>
    <row r="173" spans="1:20" ht="13.5">
      <c r="A173" s="28"/>
      <c r="C173" s="33" t="s">
        <v>98</v>
      </c>
      <c r="H173" s="1"/>
      <c r="I173" s="1"/>
      <c r="J173" s="1"/>
      <c r="K173" s="1"/>
      <c r="L173" s="1"/>
      <c r="N173" s="1"/>
      <c r="O173" s="1"/>
      <c r="P173" s="1"/>
      <c r="Q173" s="97"/>
      <c r="R173" s="1"/>
      <c r="S173" s="1"/>
      <c r="T173" s="32"/>
    </row>
    <row r="174" spans="1:20" ht="13.5">
      <c r="A174" s="28"/>
      <c r="D174" s="33" t="s">
        <v>32</v>
      </c>
      <c r="L174" s="59">
        <v>0</v>
      </c>
      <c r="N174" s="1"/>
      <c r="O174" s="1"/>
      <c r="P174" s="1"/>
      <c r="R174" s="1"/>
      <c r="S174" s="1"/>
      <c r="T174" s="32"/>
    </row>
    <row r="175" spans="1:20" ht="13.5">
      <c r="A175" s="28"/>
      <c r="D175" s="33" t="s">
        <v>99</v>
      </c>
      <c r="L175" s="59">
        <v>0</v>
      </c>
      <c r="N175" s="1"/>
      <c r="O175" s="1"/>
      <c r="P175" s="1"/>
      <c r="Q175" s="1"/>
      <c r="R175" s="1"/>
      <c r="S175" s="1"/>
      <c r="T175" s="32"/>
    </row>
    <row r="176" spans="1:20" ht="13.5">
      <c r="A176" s="28"/>
      <c r="N176" s="1"/>
      <c r="O176" s="1"/>
      <c r="P176" s="1"/>
      <c r="Q176" s="1"/>
      <c r="R176" s="1"/>
      <c r="S176" s="1"/>
      <c r="T176" s="139"/>
    </row>
    <row r="177" spans="1:20" ht="13.5">
      <c r="A177" s="28"/>
      <c r="C177" s="33" t="s">
        <v>100</v>
      </c>
      <c r="G177" s="48"/>
      <c r="H177" s="48"/>
      <c r="I177" s="48"/>
      <c r="J177" s="48"/>
      <c r="K177" s="48"/>
      <c r="L177" s="59">
        <v>0</v>
      </c>
      <c r="N177" s="1"/>
      <c r="O177" s="1"/>
      <c r="P177" s="1"/>
      <c r="Q177" s="95"/>
      <c r="R177" s="1"/>
      <c r="S177" s="1"/>
      <c r="T177" s="32"/>
    </row>
    <row r="178" spans="1:20" ht="14.25" thickBot="1">
      <c r="A178" s="34"/>
      <c r="B178" s="35"/>
      <c r="C178" s="35"/>
      <c r="D178" s="35"/>
      <c r="E178" s="35"/>
      <c r="F178" s="35"/>
      <c r="G178" s="35"/>
      <c r="H178" s="35"/>
      <c r="I178" s="35"/>
      <c r="J178" s="35"/>
      <c r="K178" s="35"/>
      <c r="L178" s="35"/>
      <c r="M178" s="35"/>
      <c r="N178" s="112"/>
      <c r="O178" s="112"/>
      <c r="P178" s="112"/>
      <c r="Q178" s="35"/>
      <c r="R178" s="112"/>
      <c r="S178" s="112"/>
      <c r="T178" s="36"/>
    </row>
    <row r="179" spans="1:20" ht="14.25" thickTop="1">
      <c r="A179" s="1"/>
      <c r="B179" s="1"/>
      <c r="C179" s="1"/>
      <c r="D179" s="1"/>
      <c r="E179" s="1"/>
      <c r="F179" s="1"/>
      <c r="G179" s="1"/>
      <c r="H179" s="1"/>
      <c r="I179" s="1"/>
      <c r="J179" s="1"/>
      <c r="K179" s="1"/>
      <c r="L179" s="1"/>
      <c r="M179" s="1"/>
      <c r="N179" s="1"/>
      <c r="O179" s="1"/>
      <c r="P179" s="1"/>
      <c r="Q179" s="1"/>
      <c r="R179" s="1"/>
      <c r="S179" s="1"/>
      <c r="T179" s="1"/>
    </row>
    <row r="180" spans="7:19" ht="13.5">
      <c r="G180" s="29"/>
      <c r="H180" s="29"/>
      <c r="I180" s="29"/>
      <c r="J180" s="29"/>
      <c r="K180" s="29"/>
      <c r="O180" s="1"/>
      <c r="P180" s="1"/>
      <c r="Q180" s="1"/>
      <c r="R180" s="1"/>
      <c r="S180" s="1"/>
    </row>
    <row r="181" spans="7:19" ht="13.5">
      <c r="G181" s="29"/>
      <c r="H181" s="29"/>
      <c r="I181" s="29"/>
      <c r="J181" s="29"/>
      <c r="K181" s="29"/>
      <c r="O181" s="1"/>
      <c r="P181" s="1"/>
      <c r="Q181" s="1"/>
      <c r="R181" s="1"/>
      <c r="S181" s="1"/>
    </row>
    <row r="182" spans="15:19" ht="13.5">
      <c r="O182" s="1"/>
      <c r="P182" s="1"/>
      <c r="Q182" s="1"/>
      <c r="R182" s="1"/>
      <c r="S182" s="1"/>
    </row>
  </sheetData>
  <printOptions horizontalCentered="1"/>
  <pageMargins left="0.75" right="0.75" top="0.75" bottom="0.5" header="0.25" footer="0.25"/>
  <pageSetup fitToHeight="10" horizontalDpi="300" verticalDpi="300" orientation="landscape" pageOrder="overThenDown" scale="75" r:id="rId1"/>
  <headerFooter alignWithMargins="0">
    <oddHeader>&amp;L&amp;"Book Antiqua,Bold"Maximize ERP Project&amp;C&amp;"Book Antiqua,Bold"Financial Model&amp;R&amp;"Book Antiqua,Bold"&amp;A - &amp;F</oddHeader>
    <oddFooter>&amp;L&amp;"Book Antiqua,Bold"STRICTLY CONFIDENTIAL -- 
Unaudited Preliminary Draft
For discussion and review purposes only
&amp;C&amp;"Book Antiqua,Bold"&amp;P of &amp;N&amp;R&amp;"Book Antiqua,Bold"&amp;D, &amp;T</oddFooter>
  </headerFooter>
  <rowBreaks count="4" manualBreakCount="4">
    <brk id="36" max="65535" man="1"/>
    <brk id="84" max="65535" man="1"/>
    <brk id="103" max="65535" man="1"/>
    <brk id="141" max="65535" man="1"/>
  </rowBreaks>
</worksheet>
</file>

<file path=xl/worksheets/sheet3.xml><?xml version="1.0" encoding="utf-8"?>
<worksheet xmlns="http://schemas.openxmlformats.org/spreadsheetml/2006/main" xmlns:r="http://schemas.openxmlformats.org/officeDocument/2006/relationships">
  <dimension ref="A1:AI111"/>
  <sheetViews>
    <sheetView showGridLines="0" zoomScale="75" zoomScaleNormal="75" workbookViewId="0" topLeftCell="A1">
      <pane xSplit="6" ySplit="4" topLeftCell="G5" activePane="bottomRight" state="frozen"/>
      <selection pane="topLeft" activeCell="B38" sqref="B38"/>
      <selection pane="topRight" activeCell="B38" sqref="B38"/>
      <selection pane="bottomLeft" activeCell="B38" sqref="B38"/>
      <selection pane="bottomRight" activeCell="P10" sqref="P10"/>
    </sheetView>
  </sheetViews>
  <sheetFormatPr defaultColWidth="9.00390625" defaultRowHeight="12.75"/>
  <cols>
    <col min="1" max="5" width="2.75390625" style="33" customWidth="1"/>
    <col min="6" max="7" width="13.75390625" style="33" customWidth="1"/>
    <col min="8" max="8" width="10.00390625" style="33" customWidth="1"/>
    <col min="9" max="9" width="9.625" style="33" customWidth="1"/>
    <col min="10" max="10" width="10.375" style="33" customWidth="1"/>
    <col min="11" max="11" width="10.25390625" style="33" customWidth="1"/>
    <col min="12" max="13" width="9.375" style="33" customWidth="1"/>
    <col min="14" max="14" width="9.875" style="33" customWidth="1"/>
    <col min="15" max="15" width="9.75390625" style="33" customWidth="1"/>
    <col min="16" max="16" width="8.875" style="33" customWidth="1"/>
    <col min="17" max="17" width="9.375" style="33" customWidth="1"/>
    <col min="18" max="18" width="9.25390625" style="33" customWidth="1"/>
    <col min="19" max="19" width="9.625" style="33" customWidth="1"/>
    <col min="20" max="20" width="0.875" style="33" customWidth="1"/>
    <col min="21" max="32" width="8.75390625" style="1" customWidth="1"/>
    <col min="33" max="33" width="0.875" style="1" customWidth="1"/>
    <col min="34" max="35" width="10.75390625" style="1" customWidth="1"/>
    <col min="36" max="16384" width="10.75390625" style="33" customWidth="1"/>
  </cols>
  <sheetData>
    <row r="1" spans="21:35" s="2" customFormat="1" ht="4.5" customHeight="1" thickBot="1">
      <c r="U1" s="1"/>
      <c r="V1" s="1"/>
      <c r="W1" s="1"/>
      <c r="X1" s="1"/>
      <c r="Y1" s="1"/>
      <c r="Z1" s="1"/>
      <c r="AA1" s="1"/>
      <c r="AB1" s="1"/>
      <c r="AC1" s="1"/>
      <c r="AD1" s="1"/>
      <c r="AE1" s="1"/>
      <c r="AF1" s="1"/>
      <c r="AG1" s="1"/>
      <c r="AH1" s="1"/>
      <c r="AI1" s="1"/>
    </row>
    <row r="2" spans="7:35" s="3" customFormat="1" ht="15.75" customHeight="1" thickTop="1">
      <c r="G2" s="4" t="str">
        <f>+Input!$G$2</f>
        <v>What-If Model</v>
      </c>
      <c r="M2" s="5" t="str">
        <f ca="1">TEXT(NOW(),"mmmm d, yyyy")</f>
        <v>June 8, 2004</v>
      </c>
      <c r="N2" s="6"/>
      <c r="O2" s="7"/>
      <c r="Q2" s="8"/>
      <c r="U2" s="1"/>
      <c r="V2" s="1"/>
      <c r="W2" s="1"/>
      <c r="X2" s="1"/>
      <c r="Y2" s="1"/>
      <c r="Z2" s="1"/>
      <c r="AA2" s="1"/>
      <c r="AB2" s="1"/>
      <c r="AC2" s="1"/>
      <c r="AD2" s="1"/>
      <c r="AE2" s="1"/>
      <c r="AF2" s="1"/>
      <c r="AG2" s="1"/>
      <c r="AH2" s="1"/>
      <c r="AI2" s="1"/>
    </row>
    <row r="3" spans="13:35" s="3" customFormat="1" ht="13.5" customHeight="1" thickBot="1">
      <c r="M3" s="9">
        <f ca="1">NOW()</f>
        <v>36684.46044386574</v>
      </c>
      <c r="N3" s="10"/>
      <c r="O3" s="11"/>
      <c r="Q3" s="8"/>
      <c r="U3" s="1"/>
      <c r="V3" s="1"/>
      <c r="W3" s="1"/>
      <c r="X3" s="1"/>
      <c r="Y3" s="1"/>
      <c r="Z3" s="1"/>
      <c r="AA3" s="1"/>
      <c r="AB3" s="1"/>
      <c r="AC3" s="1"/>
      <c r="AD3" s="1"/>
      <c r="AE3" s="1"/>
      <c r="AF3" s="1"/>
      <c r="AG3" s="1"/>
      <c r="AH3" s="1"/>
      <c r="AI3" s="1"/>
    </row>
    <row r="4" spans="17:35" s="12" customFormat="1" ht="13.5" customHeight="1" thickTop="1">
      <c r="Q4" s="13"/>
      <c r="U4" s="1"/>
      <c r="V4" s="1"/>
      <c r="W4" s="1"/>
      <c r="X4" s="1"/>
      <c r="Y4" s="1"/>
      <c r="Z4" s="1"/>
      <c r="AA4" s="1"/>
      <c r="AB4" s="1"/>
      <c r="AC4" s="1"/>
      <c r="AD4" s="1"/>
      <c r="AE4" s="1"/>
      <c r="AF4" s="1"/>
      <c r="AG4" s="1"/>
      <c r="AH4" s="1"/>
      <c r="AI4" s="1"/>
    </row>
    <row r="5" spans="1:35" s="229" customFormat="1" ht="4.5" customHeight="1" thickBot="1">
      <c r="A5" s="63"/>
      <c r="B5" s="63"/>
      <c r="C5" s="63"/>
      <c r="D5" s="63"/>
      <c r="E5" s="63"/>
      <c r="F5" s="63"/>
      <c r="G5" s="63"/>
      <c r="H5" s="63"/>
      <c r="I5" s="63"/>
      <c r="J5" s="63"/>
      <c r="K5" s="63"/>
      <c r="L5" s="63"/>
      <c r="M5" s="63"/>
      <c r="N5" s="63"/>
      <c r="O5" s="63"/>
      <c r="P5" s="63"/>
      <c r="Q5" s="63"/>
      <c r="R5" s="63"/>
      <c r="S5" s="63"/>
      <c r="T5" s="63"/>
      <c r="U5" s="154"/>
      <c r="V5" s="154"/>
      <c r="W5" s="154"/>
      <c r="X5" s="154"/>
      <c r="Y5" s="154"/>
      <c r="Z5" s="154"/>
      <c r="AA5" s="154"/>
      <c r="AB5" s="154"/>
      <c r="AC5" s="154"/>
      <c r="AD5" s="154"/>
      <c r="AE5" s="154"/>
      <c r="AF5" s="154"/>
      <c r="AG5" s="154"/>
      <c r="AH5" s="154"/>
      <c r="AI5" s="154"/>
    </row>
    <row r="6" spans="1:20" ht="17.25" thickBot="1">
      <c r="A6" s="133" t="s">
        <v>101</v>
      </c>
      <c r="B6" s="132"/>
      <c r="C6" s="132"/>
      <c r="D6" s="132"/>
      <c r="E6" s="132"/>
      <c r="F6" s="132"/>
      <c r="G6" s="132"/>
      <c r="H6" s="132"/>
      <c r="I6" s="132"/>
      <c r="J6" s="132"/>
      <c r="K6" s="132"/>
      <c r="L6" s="132"/>
      <c r="M6" s="132"/>
      <c r="N6" s="132"/>
      <c r="O6" s="132"/>
      <c r="P6" s="132"/>
      <c r="Q6" s="132"/>
      <c r="R6" s="132"/>
      <c r="S6" s="132"/>
      <c r="T6" s="35"/>
    </row>
    <row r="7" spans="1:20" ht="16.5" thickBot="1" thickTop="1">
      <c r="A7" s="28"/>
      <c r="B7" s="40" t="s">
        <v>102</v>
      </c>
      <c r="C7" s="40"/>
      <c r="D7" s="40"/>
      <c r="E7" s="40"/>
      <c r="F7" s="40"/>
      <c r="G7" s="40"/>
      <c r="H7" s="40"/>
      <c r="I7" s="40" t="s">
        <v>103</v>
      </c>
      <c r="J7" s="40"/>
      <c r="K7" s="40"/>
      <c r="L7" s="40"/>
      <c r="M7" s="40"/>
      <c r="N7" s="40"/>
      <c r="O7" s="43">
        <f>+Input!O$106</f>
        <v>35245.25</v>
      </c>
      <c r="P7" s="43">
        <f>+Input!P$106</f>
        <v>35610.5</v>
      </c>
      <c r="Q7" s="43">
        <f>+Input!Q$106</f>
        <v>35975.75</v>
      </c>
      <c r="R7" s="43">
        <f>+Input!R$106</f>
        <v>36341</v>
      </c>
      <c r="S7" s="43">
        <f>+Input!S$106</f>
        <v>36706.25</v>
      </c>
      <c r="T7" s="32"/>
    </row>
    <row r="8" spans="1:20" ht="15">
      <c r="A8" s="28"/>
      <c r="B8" s="29"/>
      <c r="C8" s="44" t="s">
        <v>104</v>
      </c>
      <c r="D8" s="29"/>
      <c r="E8" s="29"/>
      <c r="F8" s="29"/>
      <c r="G8" s="29"/>
      <c r="H8" s="45" t="s">
        <v>105</v>
      </c>
      <c r="I8" s="45" t="s">
        <v>106</v>
      </c>
      <c r="J8" s="29"/>
      <c r="K8" s="29"/>
      <c r="L8" s="1"/>
      <c r="M8" s="1"/>
      <c r="N8" s="42"/>
      <c r="O8" s="29"/>
      <c r="P8" s="29"/>
      <c r="Q8" s="29"/>
      <c r="R8" s="29"/>
      <c r="S8" s="29"/>
      <c r="T8" s="46"/>
    </row>
    <row r="9" spans="1:20" ht="13.5">
      <c r="A9" s="28"/>
      <c r="B9" s="29"/>
      <c r="C9" s="1"/>
      <c r="D9" s="29" t="str">
        <f>+Input!$E$48</f>
        <v>Machinery and Equipment</v>
      </c>
      <c r="E9" s="29"/>
      <c r="F9" s="29"/>
      <c r="G9" s="29"/>
      <c r="H9" s="41">
        <f>+Input!$L$169</f>
        <v>7</v>
      </c>
      <c r="I9" s="16">
        <f>Statements!L21</f>
        <v>0</v>
      </c>
      <c r="J9" s="29"/>
      <c r="K9" s="29"/>
      <c r="L9" s="1"/>
      <c r="M9" s="1"/>
      <c r="N9" s="42"/>
      <c r="O9" s="29">
        <f>$I9/$H9</f>
        <v>0</v>
      </c>
      <c r="P9" s="29">
        <f>MIN($I9/$H9,$I$9-SUM($O9:O9))</f>
        <v>0</v>
      </c>
      <c r="Q9" s="29">
        <f>MIN($I9/$H9,$I$9-SUM($O9:P9))</f>
        <v>0</v>
      </c>
      <c r="R9" s="29">
        <f>MIN($I9/$H9,$I$9-SUM($O9:Q9))</f>
        <v>0</v>
      </c>
      <c r="S9" s="29">
        <f>MIN($I9/$H9,$I$9-SUM($O9:R9))</f>
        <v>0</v>
      </c>
      <c r="T9" s="32">
        <f>IF(COUNT($N$6:S$6)&gt;$H9,0,$I9/$H9)</f>
        <v>0</v>
      </c>
    </row>
    <row r="10" spans="1:20" ht="13.5">
      <c r="A10" s="28"/>
      <c r="B10" s="29"/>
      <c r="C10" s="1"/>
      <c r="D10" s="29" t="str">
        <f>+Input!$E$49</f>
        <v>Building  and Plant</v>
      </c>
      <c r="E10" s="29"/>
      <c r="F10" s="29"/>
      <c r="G10" s="29"/>
      <c r="H10" s="206">
        <v>12.7</v>
      </c>
      <c r="I10" s="16">
        <f>Statements!L22</f>
        <v>61962</v>
      </c>
      <c r="J10" s="29"/>
      <c r="K10" s="29"/>
      <c r="L10" s="1"/>
      <c r="M10" s="1"/>
      <c r="N10" s="42"/>
      <c r="O10" s="48">
        <f>$I10/$H10</f>
        <v>4878.897637795276</v>
      </c>
      <c r="P10" s="48">
        <f>MIN($I10/$H10,$I$10-SUM($O10:O10))</f>
        <v>4878.897637795276</v>
      </c>
      <c r="Q10" s="48">
        <f>MIN($I10/$H10,$I$10-SUM($O10:P10))</f>
        <v>4878.897637795276</v>
      </c>
      <c r="R10" s="48">
        <f>MIN($I10/$H10,$I$10-SUM($O10:Q10))</f>
        <v>4878.897637795276</v>
      </c>
      <c r="S10" s="48">
        <f>MIN($I10/$H10,$I$10-SUM($O10:R10))</f>
        <v>4878.897637795276</v>
      </c>
      <c r="T10" s="32"/>
    </row>
    <row r="11" spans="1:20" ht="13.5">
      <c r="A11" s="28"/>
      <c r="B11" s="29"/>
      <c r="C11" s="1"/>
      <c r="D11" s="29"/>
      <c r="E11" s="29" t="s">
        <v>107</v>
      </c>
      <c r="F11" s="29"/>
      <c r="G11" s="29"/>
      <c r="H11" s="29"/>
      <c r="I11" s="49"/>
      <c r="J11" s="29"/>
      <c r="K11" s="29"/>
      <c r="L11" s="29"/>
      <c r="M11" s="1"/>
      <c r="N11" s="42"/>
      <c r="O11" s="29">
        <f>SUM(O9:O10)</f>
        <v>4878.897637795276</v>
      </c>
      <c r="P11" s="29">
        <f>SUM(P9:P10)</f>
        <v>4878.897637795276</v>
      </c>
      <c r="Q11" s="29">
        <f>SUM(Q9:Q10)</f>
        <v>4878.897637795276</v>
      </c>
      <c r="R11" s="29">
        <f>SUM(R9:R10)</f>
        <v>4878.897637795276</v>
      </c>
      <c r="S11" s="29">
        <f>SUM(S9:S10)</f>
        <v>4878.897637795276</v>
      </c>
      <c r="T11" s="32"/>
    </row>
    <row r="12" spans="1:20" ht="13.5">
      <c r="A12" s="28"/>
      <c r="B12" s="29"/>
      <c r="C12" s="29"/>
      <c r="D12" s="29"/>
      <c r="E12" s="29"/>
      <c r="F12" s="29"/>
      <c r="G12" s="29"/>
      <c r="H12" s="29"/>
      <c r="I12" s="29"/>
      <c r="J12" s="29"/>
      <c r="K12" s="29"/>
      <c r="L12" s="29"/>
      <c r="M12" s="1"/>
      <c r="N12" s="42"/>
      <c r="O12" s="29"/>
      <c r="P12" s="29"/>
      <c r="Q12" s="29"/>
      <c r="R12" s="29"/>
      <c r="S12" s="29"/>
      <c r="T12" s="32"/>
    </row>
    <row r="13" spans="1:20" ht="15">
      <c r="A13" s="28"/>
      <c r="B13" s="29"/>
      <c r="C13" s="44" t="s">
        <v>108</v>
      </c>
      <c r="D13" s="29"/>
      <c r="E13" s="29"/>
      <c r="F13" s="29"/>
      <c r="G13" s="29"/>
      <c r="H13" s="29"/>
      <c r="I13" s="29"/>
      <c r="J13" s="29"/>
      <c r="K13" s="29"/>
      <c r="L13" s="29"/>
      <c r="M13" s="1"/>
      <c r="N13" s="42"/>
      <c r="O13" s="29"/>
      <c r="P13" s="29"/>
      <c r="Q13" s="29"/>
      <c r="R13" s="29"/>
      <c r="S13" s="29"/>
      <c r="T13" s="32"/>
    </row>
    <row r="14" spans="1:20" ht="13.5">
      <c r="A14" s="28"/>
      <c r="B14" s="29"/>
      <c r="C14" s="29"/>
      <c r="D14" s="29"/>
      <c r="E14" s="29"/>
      <c r="F14" s="141">
        <f>+O7</f>
        <v>35245.25</v>
      </c>
      <c r="G14" s="51" t="str">
        <f>+$D$9</f>
        <v>Machinery and Equipment</v>
      </c>
      <c r="H14" s="29"/>
      <c r="I14" s="29"/>
      <c r="J14" s="29"/>
      <c r="K14" s="29"/>
      <c r="L14" s="29"/>
      <c r="M14" s="1"/>
      <c r="N14" s="52"/>
      <c r="O14" s="41">
        <f>+Input!O$116/$H$9/2</f>
        <v>0</v>
      </c>
      <c r="P14" s="41">
        <f>MIN($O$14*2,Input!$O$116-SUM($O$14:O14))</f>
        <v>0</v>
      </c>
      <c r="Q14" s="41">
        <f>MIN($O$14*2,Input!$O$116-SUM($O$14:P14))</f>
        <v>0</v>
      </c>
      <c r="R14" s="41">
        <f>MIN($O$14*2,Input!$O$116-SUM($O$14:Q14))</f>
        <v>0</v>
      </c>
      <c r="S14" s="41">
        <f>MIN($O$14*2,Input!$O$116-SUM($O$14:R14))</f>
        <v>0</v>
      </c>
      <c r="T14" s="53"/>
    </row>
    <row r="15" spans="1:20" ht="13.5">
      <c r="A15" s="28"/>
      <c r="B15" s="29"/>
      <c r="C15" s="29"/>
      <c r="D15" s="29"/>
      <c r="E15" s="29"/>
      <c r="F15" s="141">
        <f>F14</f>
        <v>35245.25</v>
      </c>
      <c r="G15" s="51" t="str">
        <f>+$D$10</f>
        <v>Building  and Plant</v>
      </c>
      <c r="H15" s="29"/>
      <c r="I15" s="29"/>
      <c r="J15" s="29"/>
      <c r="K15" s="29"/>
      <c r="L15" s="29"/>
      <c r="M15" s="1"/>
      <c r="N15" s="52"/>
      <c r="O15" s="45">
        <f>+Input!O$117/$H$10/2</f>
        <v>0</v>
      </c>
      <c r="P15" s="45">
        <f>MIN($O$15*2,Input!$O$117-SUM($O$15:O15))</f>
        <v>0</v>
      </c>
      <c r="Q15" s="45">
        <f>MIN($O$15*2,Input!$O$117-SUM($O$15:P15))</f>
        <v>0</v>
      </c>
      <c r="R15" s="45">
        <f>MIN($O$15*2,Input!$O$117-SUM($O$15:Q15))</f>
        <v>0</v>
      </c>
      <c r="S15" s="45">
        <f>MIN($O$15*2,Input!$O$117-SUM($O$15:R15))</f>
        <v>0</v>
      </c>
      <c r="T15" s="53"/>
    </row>
    <row r="16" spans="1:20" ht="13.5">
      <c r="A16" s="28"/>
      <c r="B16" s="29"/>
      <c r="C16" s="29"/>
      <c r="D16" s="29"/>
      <c r="E16" s="29"/>
      <c r="F16" s="50"/>
      <c r="G16" s="51"/>
      <c r="H16" s="29"/>
      <c r="I16" s="29"/>
      <c r="J16" s="29"/>
      <c r="K16" s="29"/>
      <c r="L16" s="29"/>
      <c r="M16" s="1"/>
      <c r="N16" s="52"/>
      <c r="O16" s="41">
        <f>+O14+O15</f>
        <v>0</v>
      </c>
      <c r="P16" s="41">
        <f>+P14+P15</f>
        <v>0</v>
      </c>
      <c r="Q16" s="41">
        <f>+Q14+Q15</f>
        <v>0</v>
      </c>
      <c r="R16" s="41">
        <f>+R14+R15</f>
        <v>0</v>
      </c>
      <c r="S16" s="41">
        <f>+S14+S15</f>
        <v>0</v>
      </c>
      <c r="T16" s="53"/>
    </row>
    <row r="17" spans="1:20" ht="13.5">
      <c r="A17" s="28"/>
      <c r="B17" s="29"/>
      <c r="C17" s="29"/>
      <c r="D17" s="29"/>
      <c r="E17" s="29"/>
      <c r="F17" s="141">
        <f>+P7</f>
        <v>35610.5</v>
      </c>
      <c r="G17" s="51" t="str">
        <f>+$D$9</f>
        <v>Machinery and Equipment</v>
      </c>
      <c r="H17" s="29"/>
      <c r="I17" s="29"/>
      <c r="J17" s="29"/>
      <c r="K17" s="29"/>
      <c r="L17" s="29"/>
      <c r="M17" s="1"/>
      <c r="N17" s="52"/>
      <c r="O17" s="41"/>
      <c r="P17" s="41">
        <f>+Input!P$116/$H$9/2</f>
        <v>0</v>
      </c>
      <c r="Q17" s="41">
        <f>MIN($P$17*2,Input!$P$116-SUM($P$17:P17))</f>
        <v>0</v>
      </c>
      <c r="R17" s="41">
        <f>MIN($P$17*2,Input!$P$116-SUM($P$17:Q17))</f>
        <v>0</v>
      </c>
      <c r="S17" s="41">
        <f>MIN($P$17*2,Input!$P$116-SUM($P$17:R17))</f>
        <v>0</v>
      </c>
      <c r="T17" s="53"/>
    </row>
    <row r="18" spans="1:20" ht="13.5">
      <c r="A18" s="28"/>
      <c r="B18" s="29"/>
      <c r="C18" s="29"/>
      <c r="D18" s="29"/>
      <c r="E18" s="29"/>
      <c r="F18" s="141">
        <f>F17</f>
        <v>35610.5</v>
      </c>
      <c r="G18" s="51" t="str">
        <f>+$D$10</f>
        <v>Building  and Plant</v>
      </c>
      <c r="H18" s="29"/>
      <c r="I18" s="29"/>
      <c r="J18" s="29"/>
      <c r="K18" s="29"/>
      <c r="L18" s="29"/>
      <c r="M18" s="1"/>
      <c r="N18" s="52"/>
      <c r="O18" s="45"/>
      <c r="P18" s="45">
        <f>+Input!P$117/$H$10/2</f>
        <v>0</v>
      </c>
      <c r="Q18" s="45">
        <f>MIN($P$18*2,Input!$P$117-SUM($P$18:P18))</f>
        <v>0</v>
      </c>
      <c r="R18" s="45">
        <f>MIN($P$18*2,Input!$P$117-SUM($P$18:Q18))</f>
        <v>0</v>
      </c>
      <c r="S18" s="45">
        <f>MIN($P$18*2,Input!$P$117-SUM($P$18:R18))</f>
        <v>0</v>
      </c>
      <c r="T18" s="53"/>
    </row>
    <row r="19" spans="1:20" ht="13.5">
      <c r="A19" s="28"/>
      <c r="B19" s="29"/>
      <c r="C19" s="29"/>
      <c r="D19" s="29"/>
      <c r="E19" s="29"/>
      <c r="F19" s="50"/>
      <c r="G19" s="51"/>
      <c r="H19" s="29"/>
      <c r="I19" s="29"/>
      <c r="J19" s="29"/>
      <c r="K19" s="29"/>
      <c r="L19" s="29"/>
      <c r="M19" s="1"/>
      <c r="N19" s="52"/>
      <c r="O19" s="41"/>
      <c r="P19" s="41">
        <f>+P17+P18</f>
        <v>0</v>
      </c>
      <c r="Q19" s="41">
        <f>+Q17+Q18</f>
        <v>0</v>
      </c>
      <c r="R19" s="41">
        <f>+R17+R18</f>
        <v>0</v>
      </c>
      <c r="S19" s="41">
        <f>+S17+S18</f>
        <v>0</v>
      </c>
      <c r="T19" s="53"/>
    </row>
    <row r="20" spans="1:20" ht="13.5">
      <c r="A20" s="28"/>
      <c r="B20" s="29"/>
      <c r="C20" s="29"/>
      <c r="D20" s="29"/>
      <c r="E20" s="29"/>
      <c r="F20" s="141">
        <f>+Q7</f>
        <v>35975.75</v>
      </c>
      <c r="G20" s="51" t="str">
        <f>+$D$9</f>
        <v>Machinery and Equipment</v>
      </c>
      <c r="H20" s="29"/>
      <c r="I20" s="29"/>
      <c r="J20" s="29"/>
      <c r="K20" s="29"/>
      <c r="L20" s="29"/>
      <c r="M20" s="1"/>
      <c r="N20" s="52"/>
      <c r="O20" s="41"/>
      <c r="P20" s="41"/>
      <c r="Q20" s="41">
        <f>+Input!Q$116/$H$9/2</f>
        <v>0</v>
      </c>
      <c r="R20" s="41">
        <f>MIN($Q$20*2,Input!$Q$116-SUM($P$20:Q20))</f>
        <v>0</v>
      </c>
      <c r="S20" s="41">
        <f>MIN($Q$20*2,Input!$Q$116-SUM($P$20:R20))</f>
        <v>0</v>
      </c>
      <c r="T20" s="53"/>
    </row>
    <row r="21" spans="1:20" ht="13.5">
      <c r="A21" s="28"/>
      <c r="B21" s="29"/>
      <c r="C21" s="29"/>
      <c r="D21" s="29"/>
      <c r="E21" s="29"/>
      <c r="F21" s="141">
        <f>F20</f>
        <v>35975.75</v>
      </c>
      <c r="G21" s="51" t="str">
        <f>+$D$10</f>
        <v>Building  and Plant</v>
      </c>
      <c r="H21" s="29"/>
      <c r="I21" s="29"/>
      <c r="J21" s="29"/>
      <c r="K21" s="29"/>
      <c r="L21" s="29"/>
      <c r="M21" s="1"/>
      <c r="N21" s="52"/>
      <c r="O21" s="45"/>
      <c r="P21" s="45"/>
      <c r="Q21" s="45">
        <f>+Input!Q$117/$H$10/2</f>
        <v>0</v>
      </c>
      <c r="R21" s="45">
        <f>MIN($Q$21*2,Input!$Q$117-SUM($P$21:Q21))</f>
        <v>0</v>
      </c>
      <c r="S21" s="45">
        <f>MIN($Q$21*2,Input!$Q$117-SUM($P$21:R21))</f>
        <v>0</v>
      </c>
      <c r="T21" s="53"/>
    </row>
    <row r="22" spans="1:20" ht="13.5">
      <c r="A22" s="28"/>
      <c r="B22" s="29"/>
      <c r="C22" s="29"/>
      <c r="D22" s="29"/>
      <c r="E22" s="29"/>
      <c r="F22" s="50"/>
      <c r="G22" s="51"/>
      <c r="H22" s="29"/>
      <c r="I22" s="29"/>
      <c r="J22" s="29"/>
      <c r="K22" s="29"/>
      <c r="L22" s="29"/>
      <c r="M22" s="1"/>
      <c r="N22" s="52"/>
      <c r="O22" s="41"/>
      <c r="P22" s="41"/>
      <c r="Q22" s="41">
        <f>+Q20+Q21</f>
        <v>0</v>
      </c>
      <c r="R22" s="41">
        <f>+R20+R21</f>
        <v>0</v>
      </c>
      <c r="S22" s="41">
        <f>+S20+S21</f>
        <v>0</v>
      </c>
      <c r="T22" s="53"/>
    </row>
    <row r="23" spans="1:20" ht="13.5">
      <c r="A23" s="28"/>
      <c r="B23" s="29"/>
      <c r="C23" s="29"/>
      <c r="D23" s="29"/>
      <c r="E23" s="29"/>
      <c r="F23" s="141">
        <f>+R7</f>
        <v>36341</v>
      </c>
      <c r="G23" s="51" t="str">
        <f>+$D$9</f>
        <v>Machinery and Equipment</v>
      </c>
      <c r="H23" s="29"/>
      <c r="I23" s="29"/>
      <c r="J23" s="29"/>
      <c r="K23" s="29"/>
      <c r="L23" s="29"/>
      <c r="M23" s="1"/>
      <c r="N23" s="52"/>
      <c r="O23" s="41"/>
      <c r="P23" s="41"/>
      <c r="Q23" s="41"/>
      <c r="R23" s="41">
        <f>+Input!R$116/$H$9/2</f>
        <v>0</v>
      </c>
      <c r="S23" s="41">
        <f>MIN($R$23*2,Input!$R$116-SUM($P$23:R23))</f>
        <v>0</v>
      </c>
      <c r="T23" s="53"/>
    </row>
    <row r="24" spans="1:20" ht="13.5">
      <c r="A24" s="28"/>
      <c r="B24" s="29"/>
      <c r="C24" s="29"/>
      <c r="D24" s="29"/>
      <c r="E24" s="29"/>
      <c r="F24" s="141">
        <f>F23</f>
        <v>36341</v>
      </c>
      <c r="G24" s="51" t="str">
        <f>+$D$10</f>
        <v>Building  and Plant</v>
      </c>
      <c r="H24" s="29"/>
      <c r="I24" s="29"/>
      <c r="J24" s="29"/>
      <c r="K24" s="29"/>
      <c r="L24" s="29"/>
      <c r="M24" s="1"/>
      <c r="N24" s="52"/>
      <c r="O24" s="45"/>
      <c r="P24" s="45"/>
      <c r="Q24" s="45"/>
      <c r="R24" s="45">
        <f>+Input!R$117/$H$10/2</f>
        <v>0</v>
      </c>
      <c r="S24" s="45">
        <f>MIN($R$24*2,Input!$R$117-SUM($P$24:R24))</f>
        <v>0</v>
      </c>
      <c r="T24" s="53"/>
    </row>
    <row r="25" spans="1:20" ht="13.5">
      <c r="A25" s="28"/>
      <c r="B25" s="29"/>
      <c r="C25" s="29"/>
      <c r="D25" s="29"/>
      <c r="E25" s="29"/>
      <c r="F25" s="50"/>
      <c r="G25" s="51"/>
      <c r="H25" s="29"/>
      <c r="I25" s="29"/>
      <c r="J25" s="29"/>
      <c r="K25" s="29"/>
      <c r="L25" s="29"/>
      <c r="M25" s="1"/>
      <c r="N25" s="52"/>
      <c r="O25" s="41"/>
      <c r="P25" s="41"/>
      <c r="Q25" s="41"/>
      <c r="R25" s="41">
        <f>+R23+R24</f>
        <v>0</v>
      </c>
      <c r="S25" s="41">
        <f>+S23+S24</f>
        <v>0</v>
      </c>
      <c r="T25" s="53"/>
    </row>
    <row r="26" spans="1:20" ht="13.5">
      <c r="A26" s="28"/>
      <c r="B26" s="29"/>
      <c r="C26" s="29"/>
      <c r="D26" s="29"/>
      <c r="E26" s="29"/>
      <c r="F26" s="141">
        <f>+S7</f>
        <v>36706.25</v>
      </c>
      <c r="G26" s="51" t="str">
        <f>+$D$9</f>
        <v>Machinery and Equipment</v>
      </c>
      <c r="H26" s="29"/>
      <c r="I26" s="29"/>
      <c r="J26" s="29"/>
      <c r="K26" s="29"/>
      <c r="L26" s="29"/>
      <c r="M26" s="1"/>
      <c r="N26" s="52"/>
      <c r="O26" s="41"/>
      <c r="P26" s="41"/>
      <c r="Q26" s="41"/>
      <c r="R26" s="41"/>
      <c r="S26" s="41">
        <f>+Input!S$116/$H$9/2</f>
        <v>0</v>
      </c>
      <c r="T26" s="53"/>
    </row>
    <row r="27" spans="1:20" ht="13.5">
      <c r="A27" s="28"/>
      <c r="B27" s="29"/>
      <c r="C27" s="29"/>
      <c r="D27" s="29"/>
      <c r="E27" s="29"/>
      <c r="F27" s="141">
        <f>F26</f>
        <v>36706.25</v>
      </c>
      <c r="G27" s="51" t="str">
        <f>+$D$10</f>
        <v>Building  and Plant</v>
      </c>
      <c r="H27" s="29"/>
      <c r="I27" s="29"/>
      <c r="J27" s="29"/>
      <c r="K27" s="29"/>
      <c r="L27" s="29"/>
      <c r="M27" s="1"/>
      <c r="N27" s="52"/>
      <c r="O27" s="45"/>
      <c r="P27" s="45"/>
      <c r="Q27" s="45"/>
      <c r="R27" s="45"/>
      <c r="S27" s="45">
        <f>+Input!S$117/$H$10/2</f>
        <v>0</v>
      </c>
      <c r="T27" s="53"/>
    </row>
    <row r="28" spans="1:20" ht="13.5">
      <c r="A28" s="28"/>
      <c r="B28" s="29"/>
      <c r="C28" s="29"/>
      <c r="D28" s="29"/>
      <c r="E28" s="29"/>
      <c r="F28" s="50"/>
      <c r="G28" s="51"/>
      <c r="H28" s="29"/>
      <c r="I28" s="29"/>
      <c r="J28" s="29"/>
      <c r="K28" s="29"/>
      <c r="L28" s="29"/>
      <c r="M28" s="1"/>
      <c r="N28" s="52"/>
      <c r="O28" s="41"/>
      <c r="P28" s="41"/>
      <c r="Q28" s="41"/>
      <c r="R28" s="41"/>
      <c r="S28" s="41">
        <f>+S26+S27</f>
        <v>0</v>
      </c>
      <c r="T28" s="53"/>
    </row>
    <row r="29" spans="1:20" ht="14.25" thickBot="1">
      <c r="A29" s="135"/>
      <c r="B29" s="17"/>
      <c r="C29" s="17" t="s">
        <v>109</v>
      </c>
      <c r="D29" s="17"/>
      <c r="E29" s="17"/>
      <c r="F29" s="17"/>
      <c r="G29" s="17"/>
      <c r="H29" s="17"/>
      <c r="I29" s="17"/>
      <c r="J29" s="17"/>
      <c r="K29" s="17"/>
      <c r="L29" s="17"/>
      <c r="M29" s="17"/>
      <c r="N29" s="17"/>
      <c r="O29" s="54">
        <f>+O28+O25+O22+O19+O16+O11</f>
        <v>4878.897637795276</v>
      </c>
      <c r="P29" s="54">
        <f>+P28+P25+P22+P19+P16+P11</f>
        <v>4878.897637795276</v>
      </c>
      <c r="Q29" s="54">
        <f>+Q28+Q25+Q22+Q19+Q16+Q11</f>
        <v>4878.897637795276</v>
      </c>
      <c r="R29" s="54">
        <f>+R28+R25+R22+R19+R16+R11</f>
        <v>4878.897637795276</v>
      </c>
      <c r="S29" s="54">
        <f>+S28+S25+S22+S19+S16+S11</f>
        <v>4878.897637795276</v>
      </c>
      <c r="T29" s="53"/>
    </row>
    <row r="30" spans="1:20" ht="15" thickBot="1" thickTop="1">
      <c r="A30" s="34"/>
      <c r="B30" s="35"/>
      <c r="C30" s="35"/>
      <c r="D30" s="35"/>
      <c r="E30" s="35"/>
      <c r="F30" s="35"/>
      <c r="G30" s="35"/>
      <c r="H30" s="35"/>
      <c r="I30" s="35"/>
      <c r="J30" s="35"/>
      <c r="K30" s="35"/>
      <c r="L30" s="35"/>
      <c r="M30" s="112"/>
      <c r="N30" s="112"/>
      <c r="O30" s="136"/>
      <c r="P30" s="136"/>
      <c r="Q30" s="136"/>
      <c r="R30" s="136"/>
      <c r="S30" s="136"/>
      <c r="T30" s="131"/>
    </row>
    <row r="31" spans="1:20" ht="15.75" customHeight="1" thickTop="1">
      <c r="A31" s="188"/>
      <c r="B31" s="29"/>
      <c r="C31" s="29"/>
      <c r="D31" s="29"/>
      <c r="E31" s="29"/>
      <c r="F31" s="29"/>
      <c r="G31" s="29"/>
      <c r="H31" s="29"/>
      <c r="I31" s="29"/>
      <c r="J31" s="29"/>
      <c r="K31" s="29"/>
      <c r="L31" s="29"/>
      <c r="M31" s="29"/>
      <c r="N31" s="29"/>
      <c r="O31" s="29"/>
      <c r="P31" s="29"/>
      <c r="Q31" s="29"/>
      <c r="R31" s="29"/>
      <c r="S31" s="29"/>
      <c r="T31" s="29"/>
    </row>
    <row r="32" spans="1:20" ht="15.75" customHeight="1" thickBot="1">
      <c r="A32" s="134" t="str">
        <f>A6</f>
        <v>CALCULATIONS</v>
      </c>
      <c r="B32" s="35"/>
      <c r="C32" s="35"/>
      <c r="D32" s="35"/>
      <c r="E32" s="35"/>
      <c r="F32" s="35"/>
      <c r="G32" s="35"/>
      <c r="H32" s="35"/>
      <c r="I32" s="35"/>
      <c r="J32" s="35"/>
      <c r="K32" s="35"/>
      <c r="L32" s="35"/>
      <c r="M32" s="35"/>
      <c r="N32" s="35"/>
      <c r="O32" s="35"/>
      <c r="P32" s="35"/>
      <c r="Q32" s="35"/>
      <c r="R32" s="35"/>
      <c r="S32" s="35"/>
      <c r="T32" s="35"/>
    </row>
    <row r="33" spans="1:20" ht="16.5" thickBot="1" thickTop="1">
      <c r="A33" s="28"/>
      <c r="B33" s="40" t="s">
        <v>110</v>
      </c>
      <c r="C33" s="29"/>
      <c r="D33" s="29"/>
      <c r="E33" s="29"/>
      <c r="F33" s="29"/>
      <c r="G33" s="29"/>
      <c r="H33" s="29"/>
      <c r="I33" s="29"/>
      <c r="J33" s="29"/>
      <c r="K33" s="29"/>
      <c r="L33" s="29"/>
      <c r="M33" s="1"/>
      <c r="N33" s="47"/>
      <c r="O33" s="43">
        <f>+O7</f>
        <v>35245.25</v>
      </c>
      <c r="P33" s="43">
        <f>+P7</f>
        <v>35610.5</v>
      </c>
      <c r="Q33" s="43">
        <f>+Q7</f>
        <v>35975.75</v>
      </c>
      <c r="R33" s="43">
        <f>+R7</f>
        <v>36341</v>
      </c>
      <c r="S33" s="43">
        <f>+S7</f>
        <v>36706.25</v>
      </c>
      <c r="T33" s="32"/>
    </row>
    <row r="34" spans="1:20" ht="15">
      <c r="A34" s="28"/>
      <c r="B34" s="40"/>
      <c r="C34" s="29"/>
      <c r="D34" s="29"/>
      <c r="E34" s="29"/>
      <c r="F34" s="29"/>
      <c r="G34" s="29"/>
      <c r="H34" s="29"/>
      <c r="I34" s="29"/>
      <c r="J34" s="29"/>
      <c r="K34" s="29"/>
      <c r="L34" s="29"/>
      <c r="M34" s="1"/>
      <c r="N34" s="47"/>
      <c r="O34" s="29"/>
      <c r="P34" s="29"/>
      <c r="Q34" s="29"/>
      <c r="R34" s="29"/>
      <c r="S34" s="29"/>
      <c r="T34" s="32"/>
    </row>
    <row r="35" spans="1:20" ht="15">
      <c r="A35" s="28"/>
      <c r="B35" s="40"/>
      <c r="C35" s="29" t="str">
        <f>+Statements!$B$112</f>
        <v>Income from Continuing Operations</v>
      </c>
      <c r="D35" s="29"/>
      <c r="E35" s="29"/>
      <c r="F35" s="29"/>
      <c r="G35" s="29"/>
      <c r="H35" s="29"/>
      <c r="I35" s="29"/>
      <c r="J35" s="29"/>
      <c r="K35" s="29"/>
      <c r="L35" s="29"/>
      <c r="M35" s="1"/>
      <c r="N35" s="47"/>
      <c r="O35" s="29">
        <f>+Statements!M$112</f>
        <v>40475.32736220473</v>
      </c>
      <c r="P35" s="29">
        <f>+Statements!N$112</f>
        <v>43163.55236220472</v>
      </c>
      <c r="Q35" s="29">
        <f>+Statements!O$112</f>
        <v>45986.45361220473</v>
      </c>
      <c r="R35" s="29">
        <f>+Statements!P$112</f>
        <v>48950.55242470473</v>
      </c>
      <c r="S35" s="29">
        <f>+Statements!Q$112</f>
        <v>52062.756177829746</v>
      </c>
      <c r="T35" s="32"/>
    </row>
    <row r="36" spans="1:20" ht="15">
      <c r="A36" s="28"/>
      <c r="B36" s="40"/>
      <c r="C36" s="29"/>
      <c r="D36" s="29" t="s">
        <v>111</v>
      </c>
      <c r="E36" s="29"/>
      <c r="F36" s="29"/>
      <c r="G36" s="29"/>
      <c r="H36" s="29"/>
      <c r="I36" s="29"/>
      <c r="J36" s="29"/>
      <c r="K36" s="29"/>
      <c r="L36" s="29"/>
      <c r="M36" s="1"/>
      <c r="N36" s="47"/>
      <c r="O36" s="174">
        <f>SUM(O35:O35)</f>
        <v>40475.32736220473</v>
      </c>
      <c r="P36" s="174">
        <f>SUM(P35:P35)</f>
        <v>43163.55236220472</v>
      </c>
      <c r="Q36" s="174">
        <f>SUM(Q35:Q35)</f>
        <v>45986.45361220473</v>
      </c>
      <c r="R36" s="174">
        <f>SUM(R35:R35)</f>
        <v>48950.55242470473</v>
      </c>
      <c r="S36" s="174">
        <f>SUM(S35:S35)</f>
        <v>52062.756177829746</v>
      </c>
      <c r="T36" s="32"/>
    </row>
    <row r="37" spans="1:20" ht="15">
      <c r="A37" s="28"/>
      <c r="B37" s="40"/>
      <c r="C37" s="29"/>
      <c r="D37" s="29"/>
      <c r="E37" s="29"/>
      <c r="F37" s="29"/>
      <c r="G37" s="29"/>
      <c r="H37" s="29"/>
      <c r="I37" s="29"/>
      <c r="J37" s="29"/>
      <c r="K37" s="29"/>
      <c r="L37" s="29"/>
      <c r="M37" s="1"/>
      <c r="N37" s="47"/>
      <c r="O37" s="29"/>
      <c r="P37" s="29"/>
      <c r="Q37" s="29"/>
      <c r="R37" s="29"/>
      <c r="S37" s="29"/>
      <c r="T37" s="32"/>
    </row>
    <row r="38" spans="1:20" ht="15">
      <c r="A38" s="28"/>
      <c r="B38" s="40"/>
      <c r="C38" s="29"/>
      <c r="D38" s="29" t="s">
        <v>112</v>
      </c>
      <c r="E38" s="29"/>
      <c r="F38" s="29" t="s">
        <v>113</v>
      </c>
      <c r="G38" s="29"/>
      <c r="H38" s="29"/>
      <c r="I38" s="29"/>
      <c r="J38" s="29"/>
      <c r="K38" s="29"/>
      <c r="L38" s="29"/>
      <c r="M38" s="1"/>
      <c r="N38" s="47"/>
      <c r="O38" s="29">
        <f>-O50</f>
        <v>0</v>
      </c>
      <c r="P38" s="29">
        <f>-P50</f>
        <v>0</v>
      </c>
      <c r="Q38" s="29">
        <f>-Q50</f>
        <v>0</v>
      </c>
      <c r="R38" s="29">
        <f>-R50</f>
        <v>0</v>
      </c>
      <c r="S38" s="29">
        <f>-S50</f>
        <v>0</v>
      </c>
      <c r="T38" s="32"/>
    </row>
    <row r="39" spans="1:20" ht="15">
      <c r="A39" s="28"/>
      <c r="B39" s="40"/>
      <c r="C39" s="29"/>
      <c r="D39" s="29"/>
      <c r="E39" s="29"/>
      <c r="F39" s="29"/>
      <c r="G39" s="29"/>
      <c r="H39" s="29"/>
      <c r="I39" s="29"/>
      <c r="J39" s="29"/>
      <c r="K39" s="29"/>
      <c r="L39" s="29"/>
      <c r="M39" s="1"/>
      <c r="N39" s="47"/>
      <c r="O39" s="29"/>
      <c r="P39" s="29"/>
      <c r="Q39" s="29"/>
      <c r="R39" s="29"/>
      <c r="S39" s="29"/>
      <c r="T39" s="32"/>
    </row>
    <row r="40" spans="1:20" ht="15.75" thickBot="1">
      <c r="A40" s="28"/>
      <c r="B40" s="40"/>
      <c r="C40" s="29"/>
      <c r="D40" s="29"/>
      <c r="E40" s="29" t="s">
        <v>114</v>
      </c>
      <c r="F40" s="29"/>
      <c r="G40" s="29"/>
      <c r="H40" s="29"/>
      <c r="I40" s="29"/>
      <c r="J40" s="29"/>
      <c r="K40" s="29"/>
      <c r="L40" s="29"/>
      <c r="M40" s="1"/>
      <c r="N40" s="47"/>
      <c r="O40" s="60">
        <f>+O36+O38</f>
        <v>40475.32736220473</v>
      </c>
      <c r="P40" s="60">
        <f>+P36+P38</f>
        <v>43163.55236220472</v>
      </c>
      <c r="Q40" s="60">
        <f>+Q36+Q38</f>
        <v>45986.45361220473</v>
      </c>
      <c r="R40" s="60">
        <f>+R36+R38</f>
        <v>48950.55242470473</v>
      </c>
      <c r="S40" s="60">
        <f>+S36+S38</f>
        <v>52062.756177829746</v>
      </c>
      <c r="T40" s="32"/>
    </row>
    <row r="41" spans="1:20" ht="15.75" thickTop="1">
      <c r="A41" s="28"/>
      <c r="B41" s="40"/>
      <c r="C41" s="29"/>
      <c r="D41" s="29"/>
      <c r="E41" s="29"/>
      <c r="F41" s="29"/>
      <c r="G41" s="29"/>
      <c r="H41" s="29"/>
      <c r="I41" s="29"/>
      <c r="J41" s="29"/>
      <c r="K41" s="29"/>
      <c r="L41" s="45" t="s">
        <v>115</v>
      </c>
      <c r="M41" s="1"/>
      <c r="N41" s="47"/>
      <c r="O41" s="29"/>
      <c r="P41" s="29"/>
      <c r="Q41" s="29"/>
      <c r="R41" s="29"/>
      <c r="S41" s="29"/>
      <c r="T41" s="32"/>
    </row>
    <row r="42" spans="1:20" ht="15">
      <c r="A42" s="28"/>
      <c r="B42" s="40"/>
      <c r="C42" s="29" t="s">
        <v>116</v>
      </c>
      <c r="D42" s="29"/>
      <c r="E42" s="29"/>
      <c r="F42" s="29"/>
      <c r="G42" s="29"/>
      <c r="H42" s="41" t="s">
        <v>117</v>
      </c>
      <c r="I42" s="62">
        <f>Input!L164</f>
        <v>0</v>
      </c>
      <c r="J42" s="41" t="s">
        <v>118</v>
      </c>
      <c r="K42" s="62">
        <f>Input!L160</f>
        <v>0.8607</v>
      </c>
      <c r="L42" s="30">
        <f>K42+((1-K42)*I42)</f>
        <v>0.8607</v>
      </c>
      <c r="M42" s="1"/>
      <c r="N42" s="47"/>
      <c r="O42" s="29">
        <f>$L$42*O40</f>
        <v>34837.11426064961</v>
      </c>
      <c r="P42" s="29">
        <f>$L$42*P40</f>
        <v>37150.8695181496</v>
      </c>
      <c r="Q42" s="29">
        <f>$L$42*Q40</f>
        <v>39580.54062402461</v>
      </c>
      <c r="R42" s="29">
        <f>$L$42*R40</f>
        <v>42131.74047194336</v>
      </c>
      <c r="S42" s="29">
        <f>$L$42*S40</f>
        <v>44810.41424225806</v>
      </c>
      <c r="T42" s="32"/>
    </row>
    <row r="43" spans="1:20" ht="15">
      <c r="A43" s="28"/>
      <c r="B43" s="40"/>
      <c r="C43" s="29" t="s">
        <v>119</v>
      </c>
      <c r="D43" s="29"/>
      <c r="E43" s="29"/>
      <c r="F43" s="29"/>
      <c r="G43" s="29"/>
      <c r="H43" s="29"/>
      <c r="I43" s="29"/>
      <c r="J43" s="29"/>
      <c r="K43" s="29"/>
      <c r="L43" s="29"/>
      <c r="M43" s="1"/>
      <c r="N43" s="47"/>
      <c r="O43" s="48">
        <f>O42</f>
        <v>34837.11426064961</v>
      </c>
      <c r="P43" s="48">
        <f>P42</f>
        <v>37150.8695181496</v>
      </c>
      <c r="Q43" s="48">
        <f>Q42</f>
        <v>39580.54062402461</v>
      </c>
      <c r="R43" s="48">
        <f>R42</f>
        <v>42131.74047194336</v>
      </c>
      <c r="S43" s="48">
        <f>S42</f>
        <v>44810.41424225806</v>
      </c>
      <c r="T43" s="32"/>
    </row>
    <row r="44" spans="1:20" ht="15">
      <c r="A44" s="28"/>
      <c r="B44" s="40"/>
      <c r="C44" s="29" t="s">
        <v>120</v>
      </c>
      <c r="D44" s="29"/>
      <c r="E44" s="29"/>
      <c r="F44" s="29"/>
      <c r="G44" s="29"/>
      <c r="H44" s="29"/>
      <c r="I44" s="29"/>
      <c r="J44" s="29"/>
      <c r="K44" s="29"/>
      <c r="L44" s="29"/>
      <c r="M44" s="1"/>
      <c r="N44" s="47"/>
      <c r="O44" s="29">
        <f>+O42-O43</f>
        <v>0</v>
      </c>
      <c r="P44" s="29">
        <f>+P42-P43</f>
        <v>0</v>
      </c>
      <c r="Q44" s="29">
        <f>+Q42-Q43</f>
        <v>0</v>
      </c>
      <c r="R44" s="29">
        <f>+R42-R43</f>
        <v>0</v>
      </c>
      <c r="S44" s="29">
        <f>+S42-S43</f>
        <v>0</v>
      </c>
      <c r="T44" s="32"/>
    </row>
    <row r="45" spans="1:20" ht="15">
      <c r="A45" s="28"/>
      <c r="B45" s="40"/>
      <c r="C45" s="29"/>
      <c r="D45" s="29"/>
      <c r="E45" s="29"/>
      <c r="F45" s="29"/>
      <c r="G45" s="29"/>
      <c r="H45" s="29"/>
      <c r="I45" s="29"/>
      <c r="J45" s="29"/>
      <c r="K45" s="29"/>
      <c r="L45" s="29"/>
      <c r="M45" s="1"/>
      <c r="N45" s="47"/>
      <c r="O45" s="29"/>
      <c r="P45" s="29"/>
      <c r="Q45" s="29"/>
      <c r="R45" s="29"/>
      <c r="S45" s="29"/>
      <c r="T45" s="32"/>
    </row>
    <row r="46" spans="1:20" ht="15">
      <c r="A46" s="28"/>
      <c r="B46" s="40"/>
      <c r="C46" s="29" t="s">
        <v>121</v>
      </c>
      <c r="D46" s="29"/>
      <c r="E46" s="29"/>
      <c r="F46" s="29"/>
      <c r="G46" s="29"/>
      <c r="H46" s="29"/>
      <c r="I46" s="29"/>
      <c r="J46" s="29"/>
      <c r="K46" s="29"/>
      <c r="L46" s="29"/>
      <c r="M46" s="1"/>
      <c r="N46" s="47"/>
      <c r="O46" s="29">
        <f>+O44</f>
        <v>0</v>
      </c>
      <c r="P46" s="29">
        <f>+O46+P44</f>
        <v>0</v>
      </c>
      <c r="Q46" s="29">
        <f>+P46+Q44</f>
        <v>0</v>
      </c>
      <c r="R46" s="29">
        <f>+Q46+R44</f>
        <v>0</v>
      </c>
      <c r="S46" s="29">
        <f>+R46+S44</f>
        <v>0</v>
      </c>
      <c r="T46" s="32"/>
    </row>
    <row r="47" spans="1:20" ht="15">
      <c r="A47" s="28"/>
      <c r="B47" s="40"/>
      <c r="C47" s="29"/>
      <c r="D47" s="29"/>
      <c r="E47" s="29"/>
      <c r="F47" s="29"/>
      <c r="G47" s="29"/>
      <c r="H47" s="29"/>
      <c r="I47" s="29"/>
      <c r="J47" s="29"/>
      <c r="K47" s="29"/>
      <c r="L47" s="29"/>
      <c r="M47" s="1"/>
      <c r="N47" s="47"/>
      <c r="O47" s="29"/>
      <c r="P47" s="29"/>
      <c r="Q47" s="29"/>
      <c r="R47" s="29"/>
      <c r="S47" s="29"/>
      <c r="T47" s="32"/>
    </row>
    <row r="48" spans="1:20" ht="13.5">
      <c r="A48" s="28"/>
      <c r="B48" s="29"/>
      <c r="C48" s="29" t="s">
        <v>122</v>
      </c>
      <c r="D48" s="29"/>
      <c r="E48" s="29"/>
      <c r="F48" s="29"/>
      <c r="G48" s="29"/>
      <c r="H48" s="29"/>
      <c r="I48" s="29"/>
      <c r="J48" s="29"/>
      <c r="K48" s="29"/>
      <c r="L48" s="29"/>
      <c r="M48" s="1"/>
      <c r="N48" s="47"/>
      <c r="O48" s="29">
        <v>0</v>
      </c>
      <c r="P48" s="29">
        <f>+O51</f>
        <v>0</v>
      </c>
      <c r="Q48" s="29">
        <f>+P51</f>
        <v>0</v>
      </c>
      <c r="R48" s="29">
        <f>+Q51</f>
        <v>0</v>
      </c>
      <c r="S48" s="29">
        <f>+R51</f>
        <v>0</v>
      </c>
      <c r="T48" s="32"/>
    </row>
    <row r="49" spans="1:20" ht="13.5">
      <c r="A49" s="28"/>
      <c r="B49" s="29"/>
      <c r="C49" s="29" t="s">
        <v>123</v>
      </c>
      <c r="D49" s="29"/>
      <c r="E49" s="29"/>
      <c r="F49" s="29"/>
      <c r="G49" s="29"/>
      <c r="H49" s="29"/>
      <c r="I49" s="29"/>
      <c r="J49" s="29"/>
      <c r="K49" s="29"/>
      <c r="L49" s="29"/>
      <c r="M49" s="1"/>
      <c r="N49" s="47"/>
      <c r="O49" s="29">
        <f>-MIN(O36,0)</f>
        <v>0</v>
      </c>
      <c r="P49" s="29">
        <f>-MIN(P36,0)</f>
        <v>0</v>
      </c>
      <c r="Q49" s="29">
        <f>-MIN(Q36,0)</f>
        <v>0</v>
      </c>
      <c r="R49" s="29">
        <f>-MIN(R36,0)</f>
        <v>0</v>
      </c>
      <c r="S49" s="29">
        <f>-MIN(S36,0)</f>
        <v>0</v>
      </c>
      <c r="T49" s="32"/>
    </row>
    <row r="50" spans="1:20" ht="13.5">
      <c r="A50" s="28"/>
      <c r="B50" s="29"/>
      <c r="C50" s="29" t="s">
        <v>113</v>
      </c>
      <c r="D50" s="29"/>
      <c r="E50" s="29"/>
      <c r="F50" s="29"/>
      <c r="G50" s="29"/>
      <c r="H50" s="29"/>
      <c r="I50" s="29"/>
      <c r="J50" s="29"/>
      <c r="K50" s="29"/>
      <c r="L50" s="29"/>
      <c r="M50" s="1"/>
      <c r="N50" s="47"/>
      <c r="O50" s="48">
        <f>MAX(MIN(SUM(O48:O49),O36),0)</f>
        <v>0</v>
      </c>
      <c r="P50" s="48">
        <f>MAX(MIN(SUM(P48:P49),P36),0)</f>
        <v>0</v>
      </c>
      <c r="Q50" s="48">
        <f>MAX(MIN(SUM(Q48:Q49),Q36),0)</f>
        <v>0</v>
      </c>
      <c r="R50" s="48">
        <f>MAX(MIN(SUM(R48:R49),R36),0)</f>
        <v>0</v>
      </c>
      <c r="S50" s="48">
        <f>MAX(MIN(SUM(S48:S49),S36),0)</f>
        <v>0</v>
      </c>
      <c r="T50" s="32"/>
    </row>
    <row r="51" spans="1:20" ht="14.25" thickBot="1">
      <c r="A51" s="28"/>
      <c r="B51" s="29"/>
      <c r="C51" s="29" t="s">
        <v>124</v>
      </c>
      <c r="D51" s="29"/>
      <c r="E51" s="29"/>
      <c r="F51" s="29"/>
      <c r="G51" s="29"/>
      <c r="H51" s="29"/>
      <c r="I51" s="29"/>
      <c r="J51" s="29"/>
      <c r="K51" s="29"/>
      <c r="L51" s="29"/>
      <c r="M51" s="1"/>
      <c r="N51" s="47"/>
      <c r="O51" s="60">
        <f>+O48+O49-O50</f>
        <v>0</v>
      </c>
      <c r="P51" s="60">
        <f>+P48+P49-P50</f>
        <v>0</v>
      </c>
      <c r="Q51" s="60">
        <f>+Q48+Q49-Q50</f>
        <v>0</v>
      </c>
      <c r="R51" s="60">
        <f>+R48+R49-R50</f>
        <v>0</v>
      </c>
      <c r="S51" s="60">
        <f>+S48+S49-S50</f>
        <v>0</v>
      </c>
      <c r="T51" s="32"/>
    </row>
    <row r="52" spans="1:20" ht="15" thickBot="1" thickTop="1">
      <c r="A52" s="34"/>
      <c r="B52" s="35"/>
      <c r="C52" s="35"/>
      <c r="D52" s="35"/>
      <c r="E52" s="35"/>
      <c r="F52" s="35"/>
      <c r="G52" s="35"/>
      <c r="H52" s="35"/>
      <c r="I52" s="35"/>
      <c r="J52" s="35"/>
      <c r="K52" s="35"/>
      <c r="L52" s="35"/>
      <c r="M52" s="35"/>
      <c r="N52" s="35"/>
      <c r="O52" s="35"/>
      <c r="P52" s="35"/>
      <c r="Q52" s="35"/>
      <c r="R52" s="35"/>
      <c r="S52" s="35"/>
      <c r="T52" s="36"/>
    </row>
    <row r="53" spans="1:20" ht="14.25" thickTop="1">
      <c r="A53" s="29"/>
      <c r="B53" s="29"/>
      <c r="C53" s="29"/>
      <c r="D53" s="29"/>
      <c r="E53" s="29"/>
      <c r="F53" s="29"/>
      <c r="G53" s="29"/>
      <c r="H53" s="29"/>
      <c r="I53" s="29"/>
      <c r="J53" s="29"/>
      <c r="K53" s="29"/>
      <c r="L53" s="29"/>
      <c r="M53" s="29"/>
      <c r="N53" s="29"/>
      <c r="O53" s="29"/>
      <c r="P53" s="29"/>
      <c r="Q53" s="29"/>
      <c r="R53" s="29"/>
      <c r="S53" s="29"/>
      <c r="T53" s="29"/>
    </row>
    <row r="54" spans="1:20" ht="13.5">
      <c r="A54" s="29"/>
      <c r="B54" s="29"/>
      <c r="C54" s="29"/>
      <c r="D54" s="29"/>
      <c r="E54" s="29"/>
      <c r="F54" s="29"/>
      <c r="G54" s="29"/>
      <c r="H54" s="29"/>
      <c r="I54" s="29"/>
      <c r="J54" s="29"/>
      <c r="K54" s="29"/>
      <c r="L54" s="29"/>
      <c r="M54" s="29"/>
      <c r="N54" s="29"/>
      <c r="O54" s="29"/>
      <c r="P54" s="29"/>
      <c r="Q54" s="29"/>
      <c r="R54" s="29"/>
      <c r="S54" s="29"/>
      <c r="T54" s="29"/>
    </row>
    <row r="55" spans="1:20" ht="17.25" thickBot="1">
      <c r="A55" s="133" t="str">
        <f>A6</f>
        <v>CALCULATIONS</v>
      </c>
      <c r="B55" s="35"/>
      <c r="C55" s="35"/>
      <c r="D55" s="35"/>
      <c r="E55" s="35"/>
      <c r="F55" s="35"/>
      <c r="G55" s="35"/>
      <c r="H55" s="35"/>
      <c r="I55" s="35"/>
      <c r="J55" s="35"/>
      <c r="K55" s="35"/>
      <c r="L55" s="35"/>
      <c r="M55" s="35"/>
      <c r="N55" s="35"/>
      <c r="O55" s="35"/>
      <c r="P55" s="35"/>
      <c r="Q55" s="35"/>
      <c r="R55" s="35"/>
      <c r="S55" s="35"/>
      <c r="T55" s="35"/>
    </row>
    <row r="56" spans="1:20" ht="16.5" thickBot="1" thickTop="1">
      <c r="A56" s="28"/>
      <c r="B56" s="40" t="s">
        <v>125</v>
      </c>
      <c r="C56" s="29"/>
      <c r="D56" s="29"/>
      <c r="E56" s="29"/>
      <c r="F56" s="29"/>
      <c r="G56" s="29"/>
      <c r="H56" s="40"/>
      <c r="I56" s="40" t="s">
        <v>103</v>
      </c>
      <c r="J56" s="29"/>
      <c r="K56" s="29"/>
      <c r="L56" s="29"/>
      <c r="M56" s="1"/>
      <c r="N56" s="42"/>
      <c r="O56" s="43">
        <f>+O7</f>
        <v>35245.25</v>
      </c>
      <c r="P56" s="43">
        <f>+P7</f>
        <v>35610.5</v>
      </c>
      <c r="Q56" s="43">
        <f>+Q7</f>
        <v>35975.75</v>
      </c>
      <c r="R56" s="43">
        <f>+R7</f>
        <v>36341</v>
      </c>
      <c r="S56" s="43">
        <f>+S7</f>
        <v>36706.25</v>
      </c>
      <c r="T56" s="32"/>
    </row>
    <row r="57" spans="1:35" s="14" customFormat="1" ht="13.5">
      <c r="A57" s="20"/>
      <c r="B57" s="16"/>
      <c r="C57" s="16"/>
      <c r="D57" s="16"/>
      <c r="E57" s="16"/>
      <c r="F57" s="16"/>
      <c r="G57" s="16"/>
      <c r="H57" s="45" t="s">
        <v>105</v>
      </c>
      <c r="I57" s="45" t="s">
        <v>106</v>
      </c>
      <c r="J57" s="16"/>
      <c r="K57" s="16"/>
      <c r="L57" s="16"/>
      <c r="N57" s="63"/>
      <c r="O57" s="16"/>
      <c r="P57" s="16"/>
      <c r="Q57" s="16"/>
      <c r="R57" s="16"/>
      <c r="S57" s="16"/>
      <c r="T57" s="22"/>
      <c r="U57" s="1"/>
      <c r="V57" s="1"/>
      <c r="W57" s="1"/>
      <c r="X57" s="1"/>
      <c r="Y57" s="1"/>
      <c r="Z57" s="1"/>
      <c r="AA57" s="1"/>
      <c r="AB57" s="1"/>
      <c r="AC57" s="1"/>
      <c r="AD57" s="1"/>
      <c r="AE57" s="1"/>
      <c r="AF57" s="1"/>
      <c r="AG57" s="1"/>
      <c r="AH57" s="1"/>
      <c r="AI57" s="1"/>
    </row>
    <row r="58" spans="1:35" s="14" customFormat="1" ht="15">
      <c r="A58" s="20"/>
      <c r="B58" s="16"/>
      <c r="C58" s="64" t="s">
        <v>126</v>
      </c>
      <c r="D58" s="16"/>
      <c r="E58" s="16"/>
      <c r="F58" s="16"/>
      <c r="G58" s="16"/>
      <c r="H58" s="16">
        <f>Input!H147</f>
        <v>10</v>
      </c>
      <c r="I58" s="16"/>
      <c r="J58" s="16"/>
      <c r="K58" s="16"/>
      <c r="L58" s="16"/>
      <c r="N58" s="63"/>
      <c r="O58"/>
      <c r="P58" s="16"/>
      <c r="Q58" s="16"/>
      <c r="R58" s="16"/>
      <c r="S58" s="16"/>
      <c r="T58" s="22"/>
      <c r="U58" s="1"/>
      <c r="V58" s="1"/>
      <c r="W58" s="1"/>
      <c r="X58" s="1"/>
      <c r="Y58" s="1"/>
      <c r="Z58" s="1"/>
      <c r="AA58" s="1"/>
      <c r="AB58" s="1"/>
      <c r="AC58" s="1"/>
      <c r="AD58" s="1"/>
      <c r="AE58" s="1"/>
      <c r="AF58" s="1"/>
      <c r="AG58" s="1"/>
      <c r="AH58" s="1"/>
      <c r="AI58" s="1"/>
    </row>
    <row r="59" spans="1:35" s="14" customFormat="1" ht="13.5">
      <c r="A59" s="20"/>
      <c r="B59" s="16"/>
      <c r="C59" s="16"/>
      <c r="D59" s="16" t="s">
        <v>127</v>
      </c>
      <c r="E59" s="16"/>
      <c r="F59" s="16"/>
      <c r="G59" s="16"/>
      <c r="H59" s="16"/>
      <c r="I59" s="16"/>
      <c r="J59" s="16"/>
      <c r="K59" s="16"/>
      <c r="L59" s="16"/>
      <c r="N59" s="63"/>
      <c r="O59" s="16">
        <f>Statements!L30</f>
        <v>0</v>
      </c>
      <c r="P59" s="16">
        <f>O61</f>
        <v>0</v>
      </c>
      <c r="Q59" s="16">
        <f>P61</f>
        <v>0</v>
      </c>
      <c r="R59" s="16">
        <f>Q61</f>
        <v>0</v>
      </c>
      <c r="S59" s="16">
        <f>R61</f>
        <v>0</v>
      </c>
      <c r="T59" s="22"/>
      <c r="U59" s="1"/>
      <c r="V59" s="1"/>
      <c r="W59" s="1"/>
      <c r="X59" s="1"/>
      <c r="Y59" s="1"/>
      <c r="Z59" s="1"/>
      <c r="AA59" s="1"/>
      <c r="AB59" s="1"/>
      <c r="AC59" s="1"/>
      <c r="AD59" s="1"/>
      <c r="AE59" s="1"/>
      <c r="AF59" s="1"/>
      <c r="AG59" s="1"/>
      <c r="AH59" s="1"/>
      <c r="AI59" s="1"/>
    </row>
    <row r="60" spans="1:35" s="14" customFormat="1" ht="13.5">
      <c r="A60" s="20"/>
      <c r="B60" s="16"/>
      <c r="C60" s="16"/>
      <c r="D60" s="16" t="s">
        <v>20</v>
      </c>
      <c r="E60" s="16"/>
      <c r="F60" s="16"/>
      <c r="G60" s="16"/>
      <c r="H60" s="16"/>
      <c r="I60" s="16"/>
      <c r="J60" s="16"/>
      <c r="K60" s="16"/>
      <c r="L60" s="16"/>
      <c r="N60" s="63"/>
      <c r="O60" s="23">
        <f>O59/$H$58</f>
        <v>0</v>
      </c>
      <c r="P60" s="23">
        <f>P59/$H$58</f>
        <v>0</v>
      </c>
      <c r="Q60" s="23">
        <f>Q59/$H$58</f>
        <v>0</v>
      </c>
      <c r="R60" s="23">
        <f>R59/$H$58</f>
        <v>0</v>
      </c>
      <c r="S60" s="23">
        <f>S59/$H$58</f>
        <v>0</v>
      </c>
      <c r="T60" s="22"/>
      <c r="U60" s="1"/>
      <c r="V60" s="1"/>
      <c r="W60" s="1"/>
      <c r="X60" s="1"/>
      <c r="Y60" s="1"/>
      <c r="Z60" s="1"/>
      <c r="AA60" s="1"/>
      <c r="AB60" s="1"/>
      <c r="AC60" s="1"/>
      <c r="AD60" s="1"/>
      <c r="AE60" s="1"/>
      <c r="AF60" s="1"/>
      <c r="AG60" s="1"/>
      <c r="AH60" s="1"/>
      <c r="AI60" s="1"/>
    </row>
    <row r="61" spans="1:35" s="14" customFormat="1" ht="13.5">
      <c r="A61" s="20"/>
      <c r="B61" s="16"/>
      <c r="C61" s="16"/>
      <c r="D61" s="16"/>
      <c r="E61" s="16" t="s">
        <v>128</v>
      </c>
      <c r="F61" s="16"/>
      <c r="G61" s="16"/>
      <c r="H61" s="16"/>
      <c r="I61" s="16"/>
      <c r="J61" s="16"/>
      <c r="K61" s="16"/>
      <c r="L61" s="16"/>
      <c r="N61" s="63"/>
      <c r="O61" s="16">
        <f aca="true" t="shared" si="0" ref="O61:T61">O59-O60</f>
        <v>0</v>
      </c>
      <c r="P61" s="16">
        <f t="shared" si="0"/>
        <v>0</v>
      </c>
      <c r="Q61" s="16">
        <f t="shared" si="0"/>
        <v>0</v>
      </c>
      <c r="R61" s="16">
        <f t="shared" si="0"/>
        <v>0</v>
      </c>
      <c r="S61" s="16">
        <f t="shared" si="0"/>
        <v>0</v>
      </c>
      <c r="T61" s="22">
        <f t="shared" si="0"/>
        <v>0</v>
      </c>
      <c r="U61" s="1"/>
      <c r="V61" s="1"/>
      <c r="W61" s="1"/>
      <c r="X61" s="1"/>
      <c r="Y61" s="1"/>
      <c r="Z61" s="1"/>
      <c r="AA61" s="1"/>
      <c r="AB61" s="1"/>
      <c r="AC61" s="1"/>
      <c r="AD61" s="1"/>
      <c r="AE61" s="1"/>
      <c r="AF61" s="1"/>
      <c r="AG61" s="1"/>
      <c r="AH61" s="1"/>
      <c r="AI61" s="1"/>
    </row>
    <row r="62" spans="1:35" s="14" customFormat="1" ht="13.5">
      <c r="A62" s="20"/>
      <c r="B62" s="16"/>
      <c r="C62" s="16"/>
      <c r="D62" s="16"/>
      <c r="E62" s="16"/>
      <c r="F62" s="16"/>
      <c r="G62" s="16"/>
      <c r="H62" s="16"/>
      <c r="I62" s="16"/>
      <c r="J62" s="16"/>
      <c r="K62" s="16"/>
      <c r="L62" s="16"/>
      <c r="N62" s="63"/>
      <c r="O62" s="16"/>
      <c r="P62" s="16"/>
      <c r="Q62" s="16"/>
      <c r="R62" s="16"/>
      <c r="S62" s="16"/>
      <c r="T62" s="22"/>
      <c r="U62" s="1"/>
      <c r="V62" s="1"/>
      <c r="W62" s="1"/>
      <c r="X62" s="1"/>
      <c r="Y62" s="1"/>
      <c r="Z62" s="1"/>
      <c r="AA62" s="1"/>
      <c r="AB62" s="1"/>
      <c r="AC62" s="1"/>
      <c r="AD62" s="1"/>
      <c r="AE62" s="1"/>
      <c r="AF62" s="1"/>
      <c r="AG62" s="1"/>
      <c r="AH62" s="1"/>
      <c r="AI62" s="1"/>
    </row>
    <row r="63" spans="1:35" s="14" customFormat="1" ht="15">
      <c r="A63" s="20"/>
      <c r="B63" s="16"/>
      <c r="C63" s="64" t="str">
        <f>+Input!$C$149</f>
        <v>Goodwill</v>
      </c>
      <c r="D63" s="16"/>
      <c r="E63" s="16"/>
      <c r="F63" s="16"/>
      <c r="G63" s="16"/>
      <c r="H63" s="16">
        <f>Input!H149</f>
        <v>40</v>
      </c>
      <c r="I63" s="16"/>
      <c r="J63" s="16"/>
      <c r="K63" s="16"/>
      <c r="L63" s="16"/>
      <c r="N63" s="63"/>
      <c r="O63" s="16"/>
      <c r="P63" s="16"/>
      <c r="Q63" s="16"/>
      <c r="R63" s="16"/>
      <c r="S63" s="16"/>
      <c r="T63" s="22"/>
      <c r="U63" s="1"/>
      <c r="V63" s="1"/>
      <c r="W63" s="1"/>
      <c r="X63" s="1"/>
      <c r="Y63" s="1"/>
      <c r="Z63" s="1"/>
      <c r="AA63" s="1"/>
      <c r="AB63" s="1"/>
      <c r="AC63" s="1"/>
      <c r="AD63" s="1"/>
      <c r="AE63" s="1"/>
      <c r="AF63" s="1"/>
      <c r="AG63" s="1"/>
      <c r="AH63" s="1"/>
      <c r="AI63" s="1"/>
    </row>
    <row r="64" spans="1:35" s="14" customFormat="1" ht="13.5">
      <c r="A64" s="20"/>
      <c r="B64" s="16"/>
      <c r="C64" s="16"/>
      <c r="D64" s="16" t="str">
        <f>D59</f>
        <v>Beginning Balance</v>
      </c>
      <c r="E64" s="16"/>
      <c r="F64" s="16"/>
      <c r="G64" s="16"/>
      <c r="H64" s="16"/>
      <c r="I64" s="16"/>
      <c r="J64" s="16"/>
      <c r="K64" s="16"/>
      <c r="L64" s="16"/>
      <c r="N64" s="63"/>
      <c r="O64" s="16">
        <f>Input!O56</f>
        <v>0</v>
      </c>
      <c r="P64" s="16">
        <f>+O66</f>
        <v>0</v>
      </c>
      <c r="Q64" s="16">
        <f>+P66</f>
        <v>0</v>
      </c>
      <c r="R64" s="16">
        <f>+Q66</f>
        <v>0</v>
      </c>
      <c r="S64" s="16">
        <f>+R66</f>
        <v>0</v>
      </c>
      <c r="T64" s="22"/>
      <c r="U64" s="1"/>
      <c r="V64" s="1"/>
      <c r="W64" s="1"/>
      <c r="X64" s="1"/>
      <c r="Y64" s="1"/>
      <c r="Z64" s="1"/>
      <c r="AA64" s="1"/>
      <c r="AB64" s="1"/>
      <c r="AC64" s="1"/>
      <c r="AD64" s="1"/>
      <c r="AE64" s="1"/>
      <c r="AF64" s="1"/>
      <c r="AG64" s="1"/>
      <c r="AH64" s="1"/>
      <c r="AI64" s="1"/>
    </row>
    <row r="65" spans="1:35" s="14" customFormat="1" ht="13.5">
      <c r="A65" s="20"/>
      <c r="B65" s="16"/>
      <c r="C65" s="16"/>
      <c r="D65" s="16" t="str">
        <f>D60</f>
        <v>Amortization</v>
      </c>
      <c r="E65" s="16"/>
      <c r="F65" s="16"/>
      <c r="G65" s="16"/>
      <c r="H65" s="16"/>
      <c r="I65" s="16"/>
      <c r="J65" s="16"/>
      <c r="K65" s="16"/>
      <c r="L65" s="16"/>
      <c r="N65" s="63"/>
      <c r="O65" s="23">
        <f>$O$64/$H$63</f>
        <v>0</v>
      </c>
      <c r="P65" s="23">
        <f>MIN($O$64/$H$63,$O$64-SUM($O$65:O65))</f>
        <v>0</v>
      </c>
      <c r="Q65" s="23">
        <f>MIN($O$64/$H$63,$O$64-SUM($O$65:P65))</f>
        <v>0</v>
      </c>
      <c r="R65" s="23">
        <f>MIN($O$64/$H$63,$O$64-SUM($O$65:Q65))</f>
        <v>0</v>
      </c>
      <c r="S65" s="23">
        <f>MIN($O$64/$H$63,$O$64-SUM($O$65:R65))</f>
        <v>0</v>
      </c>
      <c r="T65" s="22"/>
      <c r="U65" s="1"/>
      <c r="V65" s="1"/>
      <c r="W65" s="1"/>
      <c r="X65" s="1"/>
      <c r="Y65" s="1"/>
      <c r="Z65" s="1"/>
      <c r="AA65" s="1"/>
      <c r="AB65" s="1"/>
      <c r="AC65" s="1"/>
      <c r="AD65" s="1"/>
      <c r="AE65" s="1"/>
      <c r="AF65" s="1"/>
      <c r="AG65" s="1"/>
      <c r="AH65" s="1"/>
      <c r="AI65" s="1"/>
    </row>
    <row r="66" spans="1:35" s="14" customFormat="1" ht="13.5">
      <c r="A66" s="20"/>
      <c r="B66" s="16"/>
      <c r="C66" s="16"/>
      <c r="D66" s="16"/>
      <c r="E66" s="16" t="str">
        <f>E61</f>
        <v>Ending Balance</v>
      </c>
      <c r="F66" s="16"/>
      <c r="G66" s="16"/>
      <c r="H66" s="16"/>
      <c r="I66" s="16"/>
      <c r="J66" s="16"/>
      <c r="K66" s="16"/>
      <c r="L66" s="16"/>
      <c r="N66" s="63"/>
      <c r="O66" s="16">
        <f>+O64-O65</f>
        <v>0</v>
      </c>
      <c r="P66" s="16">
        <f>+P64-P65</f>
        <v>0</v>
      </c>
      <c r="Q66" s="16">
        <f>+Q64-Q65</f>
        <v>0</v>
      </c>
      <c r="R66" s="16">
        <f>+R64-R65</f>
        <v>0</v>
      </c>
      <c r="S66" s="16">
        <f>+S64-S65</f>
        <v>0</v>
      </c>
      <c r="T66" s="22"/>
      <c r="U66" s="1"/>
      <c r="V66" s="1"/>
      <c r="W66" s="1"/>
      <c r="X66" s="1"/>
      <c r="Y66" s="1"/>
      <c r="Z66" s="1"/>
      <c r="AA66" s="1"/>
      <c r="AB66" s="1"/>
      <c r="AC66" s="1"/>
      <c r="AD66" s="1"/>
      <c r="AE66" s="1"/>
      <c r="AF66" s="1"/>
      <c r="AG66" s="1"/>
      <c r="AH66" s="1"/>
      <c r="AI66" s="1"/>
    </row>
    <row r="67" spans="1:35" s="14" customFormat="1" ht="13.5">
      <c r="A67" s="20"/>
      <c r="B67" s="16"/>
      <c r="C67" s="16"/>
      <c r="D67" s="16"/>
      <c r="E67" s="16"/>
      <c r="F67" s="16"/>
      <c r="G67" s="16"/>
      <c r="H67" s="16"/>
      <c r="I67" s="16"/>
      <c r="J67" s="16"/>
      <c r="K67" s="16"/>
      <c r="L67" s="16"/>
      <c r="N67" s="63"/>
      <c r="O67" s="16"/>
      <c r="P67" s="16"/>
      <c r="Q67" s="16"/>
      <c r="R67" s="16"/>
      <c r="S67" s="16"/>
      <c r="T67" s="22"/>
      <c r="U67" s="1"/>
      <c r="V67" s="1"/>
      <c r="W67" s="1"/>
      <c r="X67" s="1"/>
      <c r="Y67" s="1"/>
      <c r="Z67" s="1"/>
      <c r="AA67" s="1"/>
      <c r="AB67" s="1"/>
      <c r="AC67" s="1"/>
      <c r="AD67" s="1"/>
      <c r="AE67" s="1"/>
      <c r="AF67" s="1"/>
      <c r="AG67" s="1"/>
      <c r="AH67" s="1"/>
      <c r="AI67" s="1"/>
    </row>
    <row r="68" spans="1:35" s="14" customFormat="1" ht="15">
      <c r="A68" s="20"/>
      <c r="B68" s="16"/>
      <c r="C68" s="64" t="s">
        <v>129</v>
      </c>
      <c r="D68" s="16"/>
      <c r="E68" s="16"/>
      <c r="F68" s="16"/>
      <c r="G68" s="16"/>
      <c r="H68" s="16"/>
      <c r="I68" s="16"/>
      <c r="J68" s="16"/>
      <c r="K68" s="16"/>
      <c r="L68" s="16"/>
      <c r="N68" s="63"/>
      <c r="O68" s="16"/>
      <c r="P68" s="16"/>
      <c r="Q68" s="16"/>
      <c r="R68" s="16"/>
      <c r="S68" s="16"/>
      <c r="T68" s="22"/>
      <c r="U68" s="1"/>
      <c r="V68" s="1"/>
      <c r="W68" s="1"/>
      <c r="X68" s="1"/>
      <c r="Y68" s="1"/>
      <c r="Z68" s="1"/>
      <c r="AA68" s="1"/>
      <c r="AB68" s="1"/>
      <c r="AC68" s="1"/>
      <c r="AD68" s="1"/>
      <c r="AE68" s="1"/>
      <c r="AF68" s="1"/>
      <c r="AG68" s="1"/>
      <c r="AH68" s="1"/>
      <c r="AI68" s="1"/>
    </row>
    <row r="69" spans="1:35" s="14" customFormat="1" ht="15">
      <c r="A69" s="20"/>
      <c r="B69" s="16"/>
      <c r="C69" s="16" t="s">
        <v>3</v>
      </c>
      <c r="D69" s="64"/>
      <c r="E69" s="16"/>
      <c r="F69" s="16"/>
      <c r="G69" s="16"/>
      <c r="H69" s="16">
        <f>Input!H153</f>
        <v>10</v>
      </c>
      <c r="I69" s="16"/>
      <c r="J69" s="16"/>
      <c r="K69" s="16"/>
      <c r="L69" s="16"/>
      <c r="N69" s="63"/>
      <c r="O69" s="29"/>
      <c r="P69" s="29"/>
      <c r="Q69" s="29"/>
      <c r="R69" s="29"/>
      <c r="S69" s="29"/>
      <c r="T69" s="22"/>
      <c r="U69" s="1"/>
      <c r="V69" s="1"/>
      <c r="W69" s="1"/>
      <c r="X69" s="1"/>
      <c r="Y69" s="1"/>
      <c r="Z69" s="1"/>
      <c r="AA69" s="1"/>
      <c r="AB69" s="1"/>
      <c r="AC69" s="1"/>
      <c r="AD69" s="1"/>
      <c r="AE69" s="1"/>
      <c r="AF69" s="1"/>
      <c r="AG69" s="1"/>
      <c r="AH69" s="1"/>
      <c r="AI69" s="1"/>
    </row>
    <row r="70" spans="1:35" s="14" customFormat="1" ht="15">
      <c r="A70" s="20"/>
      <c r="B70" s="16"/>
      <c r="C70" s="16" t="s">
        <v>5</v>
      </c>
      <c r="D70" s="64"/>
      <c r="E70" s="16"/>
      <c r="F70" s="16"/>
      <c r="G70" s="16"/>
      <c r="H70" s="16">
        <f>Input!H155</f>
        <v>10</v>
      </c>
      <c r="I70" s="16"/>
      <c r="J70" s="16"/>
      <c r="K70" s="16"/>
      <c r="L70" s="16"/>
      <c r="N70" s="63"/>
      <c r="T70" s="22"/>
      <c r="U70" s="1"/>
      <c r="V70" s="1"/>
      <c r="W70" s="1"/>
      <c r="X70" s="1"/>
      <c r="Y70" s="1"/>
      <c r="Z70" s="1"/>
      <c r="AA70" s="1"/>
      <c r="AB70" s="1"/>
      <c r="AC70" s="1"/>
      <c r="AD70" s="1"/>
      <c r="AE70" s="1"/>
      <c r="AF70" s="1"/>
      <c r="AG70" s="1"/>
      <c r="AH70" s="1"/>
      <c r="AI70" s="1"/>
    </row>
    <row r="71" spans="1:35" s="14" customFormat="1" ht="13.5">
      <c r="A71" s="20"/>
      <c r="B71" s="16"/>
      <c r="C71" s="16"/>
      <c r="D71" s="16"/>
      <c r="E71" s="16"/>
      <c r="F71" s="16"/>
      <c r="G71" s="16"/>
      <c r="H71" s="16"/>
      <c r="I71" s="16"/>
      <c r="J71" s="16"/>
      <c r="K71" s="16"/>
      <c r="L71" s="16"/>
      <c r="N71" s="63"/>
      <c r="T71" s="22"/>
      <c r="U71" s="1"/>
      <c r="V71" s="1"/>
      <c r="W71" s="1"/>
      <c r="X71" s="1"/>
      <c r="Y71" s="1"/>
      <c r="Z71" s="1"/>
      <c r="AA71" s="1"/>
      <c r="AB71" s="1"/>
      <c r="AC71" s="1"/>
      <c r="AD71" s="1"/>
      <c r="AE71" s="1"/>
      <c r="AF71" s="1"/>
      <c r="AG71" s="1"/>
      <c r="AH71" s="1"/>
      <c r="AI71" s="1"/>
    </row>
    <row r="72" spans="1:35" s="14" customFormat="1" ht="13.5">
      <c r="A72" s="20"/>
      <c r="B72" s="16"/>
      <c r="C72" s="16"/>
      <c r="D72" s="16"/>
      <c r="E72" s="16"/>
      <c r="F72" s="16"/>
      <c r="G72" s="16"/>
      <c r="H72" s="16"/>
      <c r="I72" s="16"/>
      <c r="J72" s="16"/>
      <c r="K72" s="16"/>
      <c r="L72" s="16"/>
      <c r="N72" s="63"/>
      <c r="O72" s="16"/>
      <c r="P72" s="16"/>
      <c r="Q72" s="16"/>
      <c r="R72" s="16"/>
      <c r="S72" s="16"/>
      <c r="T72" s="22"/>
      <c r="U72" s="1"/>
      <c r="V72" s="1"/>
      <c r="W72" s="1"/>
      <c r="X72" s="1"/>
      <c r="Y72" s="1"/>
      <c r="Z72" s="1"/>
      <c r="AA72" s="1"/>
      <c r="AB72" s="1"/>
      <c r="AC72" s="1"/>
      <c r="AD72" s="1"/>
      <c r="AE72" s="1"/>
      <c r="AF72" s="1"/>
      <c r="AG72" s="1"/>
      <c r="AH72" s="1"/>
      <c r="AI72" s="1"/>
    </row>
    <row r="73" spans="1:35" s="152" customFormat="1" ht="13.5">
      <c r="A73" s="161"/>
      <c r="B73" s="63"/>
      <c r="C73" s="165"/>
      <c r="D73" s="165"/>
      <c r="E73" s="165"/>
      <c r="F73" s="165">
        <f>O7</f>
        <v>35245.25</v>
      </c>
      <c r="G73" s="63" t="str">
        <f>C69</f>
        <v>Project Costs-Capitalized</v>
      </c>
      <c r="H73" s="63"/>
      <c r="I73" s="63"/>
      <c r="J73" s="63"/>
      <c r="K73" s="63"/>
      <c r="L73" s="63"/>
      <c r="N73" s="63"/>
      <c r="O73" s="63">
        <f>Input!L7/H69/2</f>
        <v>0.25</v>
      </c>
      <c r="P73" s="166">
        <f>MIN($O$73*2,Input!$L$7-SUM($O$73:O73))</f>
        <v>0.5</v>
      </c>
      <c r="Q73" s="166">
        <f>MIN($O$73*2,Input!$L$7-SUM($O$73:P73))</f>
        <v>0.5</v>
      </c>
      <c r="R73" s="166">
        <f>MIN($O$73*2,Input!$L$7-SUM($O$73:Q73))</f>
        <v>0.5</v>
      </c>
      <c r="S73" s="166">
        <f>MIN($O$73*2,Input!$L$7-SUM($O$73:R73))</f>
        <v>0.5</v>
      </c>
      <c r="T73" s="163"/>
      <c r="U73" s="154"/>
      <c r="V73" s="154"/>
      <c r="W73" s="154"/>
      <c r="X73" s="154"/>
      <c r="Y73" s="154"/>
      <c r="Z73" s="154"/>
      <c r="AA73" s="154"/>
      <c r="AB73" s="154"/>
      <c r="AC73" s="154"/>
      <c r="AD73" s="154"/>
      <c r="AE73" s="154"/>
      <c r="AF73" s="154"/>
      <c r="AG73" s="154"/>
      <c r="AH73" s="154"/>
      <c r="AI73" s="154"/>
    </row>
    <row r="74" spans="1:35" s="152" customFormat="1" ht="13.5">
      <c r="A74" s="161"/>
      <c r="B74" s="63"/>
      <c r="C74" s="63"/>
      <c r="D74" s="63"/>
      <c r="E74" s="63"/>
      <c r="F74" s="165">
        <f>F73</f>
        <v>35245.25</v>
      </c>
      <c r="G74" s="63" t="str">
        <f>C70</f>
        <v>Project Fees</v>
      </c>
      <c r="H74" s="63"/>
      <c r="I74" s="63"/>
      <c r="J74" s="63"/>
      <c r="K74" s="63"/>
      <c r="L74" s="63"/>
      <c r="N74" s="63"/>
      <c r="O74" s="153">
        <f>Input!L11/H70/2</f>
        <v>0.025</v>
      </c>
      <c r="P74" s="167">
        <f>MIN($O$74*2,Input!$L$11-SUM($O$74:O74))</f>
        <v>0.05</v>
      </c>
      <c r="Q74" s="167">
        <f>MIN($O$74*2,Input!$L$11-SUM($O$74:P74))</f>
        <v>0.05</v>
      </c>
      <c r="R74" s="167">
        <f>MIN($O$74*2,Input!$L$11-SUM($O$74:Q74))</f>
        <v>0.05</v>
      </c>
      <c r="S74" s="167">
        <f>MIN($O$74*2,Input!$L$11-SUM($O$74:R74))</f>
        <v>0.05</v>
      </c>
      <c r="T74" s="163"/>
      <c r="U74" s="154"/>
      <c r="V74" s="154"/>
      <c r="W74" s="154"/>
      <c r="X74" s="154"/>
      <c r="Y74" s="154"/>
      <c r="Z74" s="154"/>
      <c r="AA74" s="154"/>
      <c r="AB74" s="154"/>
      <c r="AC74" s="154"/>
      <c r="AD74" s="154"/>
      <c r="AE74" s="154"/>
      <c r="AF74" s="154"/>
      <c r="AG74" s="154"/>
      <c r="AH74" s="154"/>
      <c r="AI74" s="154"/>
    </row>
    <row r="75" spans="1:35" s="152" customFormat="1" ht="13.5">
      <c r="A75" s="161"/>
      <c r="B75" s="63"/>
      <c r="C75" s="63"/>
      <c r="D75" s="63"/>
      <c r="E75" s="63"/>
      <c r="F75" s="63"/>
      <c r="G75" s="63"/>
      <c r="H75" s="63"/>
      <c r="I75" s="63"/>
      <c r="J75" s="63"/>
      <c r="K75" s="63"/>
      <c r="L75" s="63"/>
      <c r="N75" s="63"/>
      <c r="O75" s="63">
        <f>O73+O74</f>
        <v>0.275</v>
      </c>
      <c r="P75" s="63">
        <f>P73+P74</f>
        <v>0.55</v>
      </c>
      <c r="Q75" s="63">
        <f>Q73+Q74</f>
        <v>0.55</v>
      </c>
      <c r="R75" s="63">
        <f>R73+R74</f>
        <v>0.55</v>
      </c>
      <c r="S75" s="63">
        <f>S73+S74</f>
        <v>0.55</v>
      </c>
      <c r="T75" s="163"/>
      <c r="U75" s="154"/>
      <c r="V75" s="154"/>
      <c r="W75" s="154"/>
      <c r="X75" s="154"/>
      <c r="Y75" s="154"/>
      <c r="Z75" s="154"/>
      <c r="AA75" s="154"/>
      <c r="AB75" s="154"/>
      <c r="AC75" s="154"/>
      <c r="AD75" s="154"/>
      <c r="AE75" s="154"/>
      <c r="AF75" s="154"/>
      <c r="AG75" s="154"/>
      <c r="AH75" s="154"/>
      <c r="AI75" s="154"/>
    </row>
    <row r="76" spans="1:35" s="152" customFormat="1" ht="13.5">
      <c r="A76" s="161"/>
      <c r="B76" s="63"/>
      <c r="C76" s="63"/>
      <c r="D76" s="63"/>
      <c r="E76" s="63"/>
      <c r="F76" s="165">
        <f>P7</f>
        <v>35610.5</v>
      </c>
      <c r="G76" s="63" t="str">
        <f>C69</f>
        <v>Project Costs-Capitalized</v>
      </c>
      <c r="H76" s="63"/>
      <c r="I76" s="63"/>
      <c r="J76" s="63"/>
      <c r="K76" s="63"/>
      <c r="L76" s="63"/>
      <c r="N76" s="63"/>
      <c r="O76" s="63"/>
      <c r="P76" s="63">
        <f>Input!M7/H69/2</f>
        <v>0</v>
      </c>
      <c r="Q76" s="166">
        <f>MIN($P$76*2,Input!$M$7-SUM($P$76:P76))</f>
        <v>0</v>
      </c>
      <c r="R76" s="166">
        <f>MIN($P$76*2,Input!$M$7-SUM($P$76:Q76))</f>
        <v>0</v>
      </c>
      <c r="S76" s="166">
        <f>MIN($P$76*2,Input!$M$7-SUM($P$76:R76))</f>
        <v>0</v>
      </c>
      <c r="T76" s="163"/>
      <c r="U76" s="154"/>
      <c r="V76" s="154"/>
      <c r="W76" s="154"/>
      <c r="X76" s="154"/>
      <c r="Y76" s="154"/>
      <c r="Z76" s="154"/>
      <c r="AA76" s="154"/>
      <c r="AB76" s="154"/>
      <c r="AC76" s="154"/>
      <c r="AD76" s="154"/>
      <c r="AE76" s="154"/>
      <c r="AF76" s="154"/>
      <c r="AG76" s="154"/>
      <c r="AH76" s="154"/>
      <c r="AI76" s="154"/>
    </row>
    <row r="77" spans="1:35" s="152" customFormat="1" ht="13.5">
      <c r="A77" s="161"/>
      <c r="B77" s="63"/>
      <c r="C77" s="63"/>
      <c r="D77" s="63"/>
      <c r="E77" s="63"/>
      <c r="F77" s="165">
        <f>F76</f>
        <v>35610.5</v>
      </c>
      <c r="G77" s="63" t="str">
        <f>C70</f>
        <v>Project Fees</v>
      </c>
      <c r="H77" s="63"/>
      <c r="I77" s="63"/>
      <c r="J77" s="63"/>
      <c r="K77" s="63"/>
      <c r="L77" s="63"/>
      <c r="N77" s="63"/>
      <c r="O77" s="153"/>
      <c r="P77" s="153">
        <f>Input!M11/H70/2</f>
        <v>0.025</v>
      </c>
      <c r="Q77" s="167">
        <f>MIN($P$77*2,Input!$M$11-SUM($P$77:P77))</f>
        <v>0.05</v>
      </c>
      <c r="R77" s="167">
        <f>MIN($P$77*2,Input!$M$11-SUM($P$77:Q77))</f>
        <v>0.05</v>
      </c>
      <c r="S77" s="167">
        <f>MIN($P$77*2,Input!$M$11-SUM($P$77:R77))</f>
        <v>0.05</v>
      </c>
      <c r="T77" s="163"/>
      <c r="U77" s="154"/>
      <c r="V77" s="154"/>
      <c r="W77" s="154"/>
      <c r="X77" s="154"/>
      <c r="Y77" s="154"/>
      <c r="Z77" s="154"/>
      <c r="AA77" s="154"/>
      <c r="AB77" s="154"/>
      <c r="AC77" s="154"/>
      <c r="AD77" s="154"/>
      <c r="AE77" s="154"/>
      <c r="AF77" s="154"/>
      <c r="AG77" s="154"/>
      <c r="AH77" s="154"/>
      <c r="AI77" s="154"/>
    </row>
    <row r="78" spans="1:35" s="152" customFormat="1" ht="15">
      <c r="A78" s="161"/>
      <c r="B78" s="63"/>
      <c r="C78" s="164"/>
      <c r="D78" s="63"/>
      <c r="E78" s="63"/>
      <c r="F78" s="63"/>
      <c r="G78" s="63"/>
      <c r="H78" s="63"/>
      <c r="I78" s="63"/>
      <c r="J78" s="63"/>
      <c r="K78" s="63"/>
      <c r="L78" s="63"/>
      <c r="N78" s="63"/>
      <c r="O78" s="63"/>
      <c r="P78" s="63">
        <f>P76+P77</f>
        <v>0.025</v>
      </c>
      <c r="Q78" s="63">
        <f>Q76+Q77</f>
        <v>0.05</v>
      </c>
      <c r="R78" s="63">
        <f>R76+R77</f>
        <v>0.05</v>
      </c>
      <c r="S78" s="63">
        <f>S76+S77</f>
        <v>0.05</v>
      </c>
      <c r="T78" s="163"/>
      <c r="U78" s="154"/>
      <c r="V78" s="154"/>
      <c r="W78" s="154"/>
      <c r="X78" s="154"/>
      <c r="Y78" s="154"/>
      <c r="Z78" s="154"/>
      <c r="AA78" s="154"/>
      <c r="AB78" s="154"/>
      <c r="AC78" s="154"/>
      <c r="AD78" s="154"/>
      <c r="AE78" s="154"/>
      <c r="AF78" s="154"/>
      <c r="AG78" s="154"/>
      <c r="AH78" s="154"/>
      <c r="AI78" s="154"/>
    </row>
    <row r="79" spans="1:35" s="152" customFormat="1" ht="15">
      <c r="A79" s="161"/>
      <c r="B79" s="63"/>
      <c r="C79" s="164"/>
      <c r="D79" s="63"/>
      <c r="E79" s="63"/>
      <c r="F79" s="165">
        <f>Q7</f>
        <v>35975.75</v>
      </c>
      <c r="G79" s="63" t="str">
        <f>C69</f>
        <v>Project Costs-Capitalized</v>
      </c>
      <c r="H79" s="63"/>
      <c r="I79" s="63"/>
      <c r="J79" s="63"/>
      <c r="K79" s="63"/>
      <c r="L79" s="63"/>
      <c r="N79" s="63"/>
      <c r="O79" s="63"/>
      <c r="P79" s="63"/>
      <c r="Q79" s="63">
        <f>Input!N7/H69/2</f>
        <v>0</v>
      </c>
      <c r="R79" s="166">
        <f>MIN($Q$79*2,Input!$N$7-SUM($Q$79:Q79))</f>
        <v>0</v>
      </c>
      <c r="S79" s="166">
        <f>MIN($Q$79*2,Input!$N$7-SUM($Q$79:R79))</f>
        <v>0</v>
      </c>
      <c r="T79" s="163"/>
      <c r="U79" s="154"/>
      <c r="V79" s="154"/>
      <c r="W79" s="154"/>
      <c r="X79" s="154"/>
      <c r="Y79" s="154"/>
      <c r="Z79" s="154"/>
      <c r="AA79" s="154"/>
      <c r="AB79" s="154"/>
      <c r="AC79" s="154"/>
      <c r="AD79" s="154"/>
      <c r="AE79" s="154"/>
      <c r="AF79" s="154"/>
      <c r="AG79" s="154"/>
      <c r="AH79" s="154"/>
      <c r="AI79" s="154"/>
    </row>
    <row r="80" spans="1:35" s="152" customFormat="1" ht="15">
      <c r="A80" s="161"/>
      <c r="B80" s="63"/>
      <c r="C80" s="164"/>
      <c r="D80" s="63"/>
      <c r="E80" s="63"/>
      <c r="F80" s="165">
        <f>F79</f>
        <v>35975.75</v>
      </c>
      <c r="G80" s="63" t="str">
        <f>C70</f>
        <v>Project Fees</v>
      </c>
      <c r="H80" s="63"/>
      <c r="I80" s="63"/>
      <c r="J80" s="63"/>
      <c r="K80" s="63"/>
      <c r="L80" s="63"/>
      <c r="N80" s="63"/>
      <c r="O80" s="153"/>
      <c r="P80" s="153"/>
      <c r="Q80" s="153">
        <f>Input!N11/H70/2</f>
        <v>0.025</v>
      </c>
      <c r="R80" s="153">
        <f>MIN($Q$89*2,Input!$N$11-SUM($Q$80:Q80))</f>
        <v>0</v>
      </c>
      <c r="S80" s="153">
        <f>MIN($Q$80*2,Input!$N$11-SUM($Q$80:R80))</f>
        <v>0.05</v>
      </c>
      <c r="T80" s="163"/>
      <c r="U80" s="154"/>
      <c r="V80" s="154"/>
      <c r="W80" s="154"/>
      <c r="X80" s="154"/>
      <c r="Y80" s="154"/>
      <c r="Z80" s="154"/>
      <c r="AA80" s="154"/>
      <c r="AB80" s="154"/>
      <c r="AC80" s="154"/>
      <c r="AD80" s="154"/>
      <c r="AE80" s="154"/>
      <c r="AF80" s="154"/>
      <c r="AG80" s="154"/>
      <c r="AH80" s="154"/>
      <c r="AI80" s="154"/>
    </row>
    <row r="81" spans="1:35" s="152" customFormat="1" ht="15">
      <c r="A81" s="161"/>
      <c r="B81" s="63"/>
      <c r="C81" s="164"/>
      <c r="D81" s="63"/>
      <c r="E81" s="63"/>
      <c r="F81" s="168"/>
      <c r="G81" s="63"/>
      <c r="H81" s="63"/>
      <c r="I81" s="63"/>
      <c r="J81" s="63"/>
      <c r="K81" s="63"/>
      <c r="L81" s="63"/>
      <c r="N81" s="63"/>
      <c r="O81" s="63"/>
      <c r="P81" s="63"/>
      <c r="Q81" s="63">
        <f>Q79+Q80</f>
        <v>0.025</v>
      </c>
      <c r="R81" s="63">
        <f>R79+R80</f>
        <v>0</v>
      </c>
      <c r="S81" s="63">
        <f>S79+S80</f>
        <v>0.05</v>
      </c>
      <c r="T81" s="163"/>
      <c r="U81" s="154"/>
      <c r="V81" s="154"/>
      <c r="W81" s="154"/>
      <c r="X81" s="154"/>
      <c r="Y81" s="154"/>
      <c r="Z81" s="154"/>
      <c r="AA81" s="154"/>
      <c r="AB81" s="154"/>
      <c r="AC81" s="154"/>
      <c r="AD81" s="154"/>
      <c r="AE81" s="154"/>
      <c r="AF81" s="154"/>
      <c r="AG81" s="154"/>
      <c r="AH81" s="154"/>
      <c r="AI81" s="154"/>
    </row>
    <row r="82" spans="1:35" s="152" customFormat="1" ht="15">
      <c r="A82" s="161"/>
      <c r="B82" s="63"/>
      <c r="C82" s="164"/>
      <c r="D82" s="63"/>
      <c r="E82" s="63"/>
      <c r="F82" s="165">
        <f>R7</f>
        <v>36341</v>
      </c>
      <c r="G82" s="63" t="str">
        <f>C69</f>
        <v>Project Costs-Capitalized</v>
      </c>
      <c r="H82" s="63"/>
      <c r="I82" s="63"/>
      <c r="J82" s="63"/>
      <c r="K82" s="63"/>
      <c r="L82" s="63"/>
      <c r="N82" s="63"/>
      <c r="O82" s="63"/>
      <c r="P82" s="63"/>
      <c r="Q82" s="63"/>
      <c r="R82" s="63">
        <f>Input!O7/H69/2</f>
        <v>0</v>
      </c>
      <c r="S82" s="166">
        <f>MIN($R$82*2,Input!$O$7-SUM($R$82:R82))</f>
        <v>0</v>
      </c>
      <c r="T82" s="163"/>
      <c r="U82" s="154"/>
      <c r="V82" s="154"/>
      <c r="W82" s="154"/>
      <c r="X82" s="154"/>
      <c r="Y82" s="154"/>
      <c r="Z82" s="154"/>
      <c r="AA82" s="154"/>
      <c r="AB82" s="154"/>
      <c r="AC82" s="154"/>
      <c r="AD82" s="154"/>
      <c r="AE82" s="154"/>
      <c r="AF82" s="154"/>
      <c r="AG82" s="154"/>
      <c r="AH82" s="154"/>
      <c r="AI82" s="154"/>
    </row>
    <row r="83" spans="1:35" s="152" customFormat="1" ht="15">
      <c r="A83" s="161"/>
      <c r="B83" s="63"/>
      <c r="C83" s="164"/>
      <c r="D83" s="63"/>
      <c r="E83" s="63"/>
      <c r="F83" s="165">
        <f>R7</f>
        <v>36341</v>
      </c>
      <c r="G83" s="63" t="str">
        <f>C70</f>
        <v>Project Fees</v>
      </c>
      <c r="H83" s="63"/>
      <c r="I83" s="63"/>
      <c r="J83" s="63"/>
      <c r="K83" s="63"/>
      <c r="L83" s="63"/>
      <c r="N83" s="63"/>
      <c r="O83" s="153"/>
      <c r="P83" s="153"/>
      <c r="Q83" s="153"/>
      <c r="R83" s="153">
        <f>Input!O11/H70/2</f>
        <v>0.025</v>
      </c>
      <c r="S83" s="153">
        <f>MIN($R$83*2,Input!$O$11-SUM($R$83:R83))</f>
        <v>0.05</v>
      </c>
      <c r="T83" s="163" t="e">
        <f>MIN(($N$82*Input!$J$155)/$H$78,($N$82*Input!$J$155)-SUM($L$83:S83))</f>
        <v>#DIV/0!</v>
      </c>
      <c r="U83" s="154"/>
      <c r="V83" s="154"/>
      <c r="W83" s="154"/>
      <c r="X83" s="154"/>
      <c r="Y83" s="154"/>
      <c r="Z83" s="154"/>
      <c r="AA83" s="154"/>
      <c r="AB83" s="154"/>
      <c r="AC83" s="154"/>
      <c r="AD83" s="154"/>
      <c r="AE83" s="154"/>
      <c r="AF83" s="154"/>
      <c r="AG83" s="154"/>
      <c r="AH83" s="154"/>
      <c r="AI83" s="154"/>
    </row>
    <row r="84" spans="1:35" s="152" customFormat="1" ht="13.5">
      <c r="A84" s="161"/>
      <c r="B84" s="63"/>
      <c r="C84" s="63"/>
      <c r="D84" s="63"/>
      <c r="E84" s="63"/>
      <c r="F84" s="168"/>
      <c r="G84" s="63"/>
      <c r="H84" s="63"/>
      <c r="I84" s="63"/>
      <c r="J84" s="63"/>
      <c r="K84" s="63"/>
      <c r="L84" s="63"/>
      <c r="N84" s="63"/>
      <c r="O84" s="63"/>
      <c r="P84" s="63"/>
      <c r="Q84" s="63"/>
      <c r="R84" s="63">
        <f>R82+R83</f>
        <v>0.025</v>
      </c>
      <c r="S84" s="63">
        <f>S82+S83</f>
        <v>0.05</v>
      </c>
      <c r="T84" s="163"/>
      <c r="U84" s="154"/>
      <c r="V84" s="154"/>
      <c r="W84" s="154"/>
      <c r="X84" s="154"/>
      <c r="Y84" s="154"/>
      <c r="Z84" s="154"/>
      <c r="AA84" s="154"/>
      <c r="AB84" s="154"/>
      <c r="AC84" s="154"/>
      <c r="AD84" s="154"/>
      <c r="AE84" s="154"/>
      <c r="AF84" s="154"/>
      <c r="AG84" s="154"/>
      <c r="AH84" s="154"/>
      <c r="AI84" s="154"/>
    </row>
    <row r="85" spans="1:35" s="152" customFormat="1" ht="13.5">
      <c r="A85" s="161"/>
      <c r="B85" s="63"/>
      <c r="C85" s="63"/>
      <c r="D85" s="63"/>
      <c r="E85" s="63"/>
      <c r="F85" s="165">
        <f>S7</f>
        <v>36706.25</v>
      </c>
      <c r="G85" s="63" t="str">
        <f>C69</f>
        <v>Project Costs-Capitalized</v>
      </c>
      <c r="H85" s="63"/>
      <c r="I85" s="63"/>
      <c r="J85" s="63"/>
      <c r="K85" s="63"/>
      <c r="L85" s="63"/>
      <c r="N85" s="63"/>
      <c r="O85" s="63"/>
      <c r="P85" s="63"/>
      <c r="Q85" s="63"/>
      <c r="R85" s="63"/>
      <c r="S85" s="63">
        <f>Input!P7/H69/2</f>
        <v>0</v>
      </c>
      <c r="T85" s="163"/>
      <c r="U85" s="154"/>
      <c r="V85" s="154"/>
      <c r="W85" s="154"/>
      <c r="X85" s="154"/>
      <c r="Y85" s="154"/>
      <c r="Z85" s="154"/>
      <c r="AA85" s="154"/>
      <c r="AB85" s="154"/>
      <c r="AC85" s="154"/>
      <c r="AD85" s="154"/>
      <c r="AE85" s="154"/>
      <c r="AF85" s="154"/>
      <c r="AG85" s="154"/>
      <c r="AH85" s="154"/>
      <c r="AI85" s="154"/>
    </row>
    <row r="86" spans="1:35" s="152" customFormat="1" ht="13.5">
      <c r="A86" s="161"/>
      <c r="B86" s="63"/>
      <c r="C86" s="63"/>
      <c r="D86" s="63"/>
      <c r="E86" s="63"/>
      <c r="F86" s="165">
        <f>F85</f>
        <v>36706.25</v>
      </c>
      <c r="G86" s="63" t="str">
        <f>C70</f>
        <v>Project Fees</v>
      </c>
      <c r="H86" s="63"/>
      <c r="I86" s="63"/>
      <c r="J86" s="63"/>
      <c r="K86" s="63"/>
      <c r="L86" s="63"/>
      <c r="N86" s="63"/>
      <c r="O86" s="153"/>
      <c r="P86" s="153"/>
      <c r="Q86" s="153"/>
      <c r="R86" s="153"/>
      <c r="S86" s="153">
        <f>Input!P11/H70/2</f>
        <v>0.025</v>
      </c>
      <c r="T86" s="163"/>
      <c r="U86" s="154"/>
      <c r="V86" s="154"/>
      <c r="W86" s="154"/>
      <c r="X86" s="154"/>
      <c r="Y86" s="154"/>
      <c r="Z86" s="154"/>
      <c r="AA86" s="154"/>
      <c r="AB86" s="154"/>
      <c r="AC86" s="154"/>
      <c r="AD86" s="154"/>
      <c r="AE86" s="154"/>
      <c r="AF86" s="154"/>
      <c r="AG86" s="154"/>
      <c r="AH86" s="154"/>
      <c r="AI86" s="154"/>
    </row>
    <row r="87" spans="1:35" s="14" customFormat="1" ht="13.5">
      <c r="A87" s="20"/>
      <c r="B87" s="16"/>
      <c r="C87" s="16"/>
      <c r="D87" s="16"/>
      <c r="E87" s="16"/>
      <c r="F87" s="74"/>
      <c r="G87" s="16"/>
      <c r="H87" s="16"/>
      <c r="I87" s="16"/>
      <c r="J87" s="16"/>
      <c r="K87" s="16"/>
      <c r="L87" s="16"/>
      <c r="N87" s="63"/>
      <c r="O87" s="150"/>
      <c r="P87" s="150"/>
      <c r="Q87" s="150"/>
      <c r="R87" s="150"/>
      <c r="S87" s="150">
        <f>S85+S86</f>
        <v>0.025</v>
      </c>
      <c r="T87" s="22"/>
      <c r="U87" s="1"/>
      <c r="V87" s="1"/>
      <c r="W87" s="1"/>
      <c r="X87" s="1"/>
      <c r="Y87" s="1"/>
      <c r="Z87" s="1"/>
      <c r="AA87" s="1"/>
      <c r="AB87" s="1"/>
      <c r="AC87" s="1"/>
      <c r="AD87" s="1"/>
      <c r="AE87" s="1"/>
      <c r="AF87" s="1"/>
      <c r="AG87" s="1"/>
      <c r="AH87" s="1"/>
      <c r="AI87" s="1"/>
    </row>
    <row r="88" spans="1:35" s="14" customFormat="1" ht="13.5">
      <c r="A88" s="20"/>
      <c r="B88" s="16"/>
      <c r="C88" s="16"/>
      <c r="D88" s="16"/>
      <c r="E88" s="16"/>
      <c r="F88" s="74"/>
      <c r="G88" s="16"/>
      <c r="H88" s="16"/>
      <c r="I88" s="16"/>
      <c r="J88" s="16"/>
      <c r="K88" s="16"/>
      <c r="L88" s="16"/>
      <c r="N88" s="63"/>
      <c r="O88" s="16"/>
      <c r="P88" s="16"/>
      <c r="Q88" s="16"/>
      <c r="R88" s="16"/>
      <c r="S88" s="16"/>
      <c r="T88" s="22"/>
      <c r="U88" s="1"/>
      <c r="V88" s="1"/>
      <c r="W88" s="1"/>
      <c r="X88" s="1"/>
      <c r="Y88" s="1"/>
      <c r="Z88" s="1"/>
      <c r="AA88" s="1"/>
      <c r="AB88" s="1"/>
      <c r="AC88" s="1"/>
      <c r="AD88" s="1"/>
      <c r="AE88" s="1"/>
      <c r="AF88" s="1"/>
      <c r="AG88" s="1"/>
      <c r="AH88" s="1"/>
      <c r="AI88" s="1"/>
    </row>
    <row r="89" spans="1:35" s="14" customFormat="1" ht="15">
      <c r="A89" s="20"/>
      <c r="B89" s="16"/>
      <c r="C89" s="64" t="s">
        <v>44</v>
      </c>
      <c r="D89" s="16"/>
      <c r="E89" s="16"/>
      <c r="F89" s="74"/>
      <c r="G89" s="16"/>
      <c r="H89" s="16">
        <f>Input!H151</f>
        <v>5</v>
      </c>
      <c r="I89" s="16"/>
      <c r="J89" s="16"/>
      <c r="K89" s="16"/>
      <c r="L89" s="16"/>
      <c r="N89" s="63"/>
      <c r="O89" s="16"/>
      <c r="P89" s="16"/>
      <c r="Q89" s="16"/>
      <c r="R89" s="16"/>
      <c r="S89" s="16"/>
      <c r="T89" s="22"/>
      <c r="U89" s="1"/>
      <c r="V89" s="1"/>
      <c r="W89" s="1"/>
      <c r="X89" s="1"/>
      <c r="Y89" s="1"/>
      <c r="Z89" s="1"/>
      <c r="AA89" s="1"/>
      <c r="AB89" s="1"/>
      <c r="AC89" s="1"/>
      <c r="AD89" s="1"/>
      <c r="AE89" s="1"/>
      <c r="AF89" s="1"/>
      <c r="AG89" s="1"/>
      <c r="AH89" s="1"/>
      <c r="AI89" s="1"/>
    </row>
    <row r="90" spans="1:35" s="14" customFormat="1" ht="13.5">
      <c r="A90" s="20"/>
      <c r="B90" s="16"/>
      <c r="C90" s="16"/>
      <c r="D90" s="16" t="s">
        <v>127</v>
      </c>
      <c r="E90" s="16"/>
      <c r="F90" s="74"/>
      <c r="G90" s="16"/>
      <c r="H90" s="16"/>
      <c r="I90" s="16"/>
      <c r="J90" s="16"/>
      <c r="K90" s="16"/>
      <c r="L90" s="16"/>
      <c r="N90" s="63"/>
      <c r="O90" s="16">
        <f>Input!O57</f>
        <v>0</v>
      </c>
      <c r="P90" s="16">
        <f>+O92</f>
        <v>0</v>
      </c>
      <c r="Q90" s="16">
        <f>+P92</f>
        <v>0</v>
      </c>
      <c r="R90" s="16">
        <f>+Q92</f>
        <v>0</v>
      </c>
      <c r="S90" s="16">
        <f>+R92</f>
        <v>0</v>
      </c>
      <c r="T90" s="22"/>
      <c r="U90" s="1"/>
      <c r="V90" s="1"/>
      <c r="W90" s="1"/>
      <c r="X90" s="1"/>
      <c r="Y90" s="1"/>
      <c r="Z90" s="1"/>
      <c r="AA90" s="1"/>
      <c r="AB90" s="1"/>
      <c r="AC90" s="1"/>
      <c r="AD90" s="1"/>
      <c r="AE90" s="1"/>
      <c r="AF90" s="1"/>
      <c r="AG90" s="1"/>
      <c r="AH90" s="1"/>
      <c r="AI90" s="1"/>
    </row>
    <row r="91" spans="1:35" s="14" customFormat="1" ht="13.5">
      <c r="A91" s="20"/>
      <c r="B91" s="16"/>
      <c r="C91" s="16"/>
      <c r="D91" s="16" t="s">
        <v>20</v>
      </c>
      <c r="E91" s="16"/>
      <c r="F91" s="74"/>
      <c r="G91" s="16"/>
      <c r="H91" s="16"/>
      <c r="I91" s="16"/>
      <c r="J91" s="16"/>
      <c r="K91" s="16"/>
      <c r="L91" s="16"/>
      <c r="N91" s="63"/>
      <c r="O91" s="16">
        <f>O90/H89</f>
        <v>0</v>
      </c>
      <c r="P91" s="23">
        <f>MIN($O$90/$H$89,$O$90-SUM($O$91:O91))</f>
        <v>0</v>
      </c>
      <c r="Q91" s="23">
        <f>MIN($O$90/$H$89,$O$90-SUM($O$91:P91))</f>
        <v>0</v>
      </c>
      <c r="R91" s="23">
        <f>MIN($O$90/$H$89,$O$90-SUM($O$91:Q91))</f>
        <v>0</v>
      </c>
      <c r="S91" s="23">
        <f>MIN($O$90/$H$89,$O$90-SUM($O$91:R91))</f>
        <v>0</v>
      </c>
      <c r="T91" s="22"/>
      <c r="U91" s="1"/>
      <c r="V91" s="1"/>
      <c r="W91" s="1"/>
      <c r="X91" s="1"/>
      <c r="Y91" s="1"/>
      <c r="Z91" s="1"/>
      <c r="AA91" s="1"/>
      <c r="AB91" s="1"/>
      <c r="AC91" s="1"/>
      <c r="AD91" s="1"/>
      <c r="AE91" s="1"/>
      <c r="AF91" s="1"/>
      <c r="AG91" s="1"/>
      <c r="AH91" s="1"/>
      <c r="AI91" s="1"/>
    </row>
    <row r="92" spans="1:35" s="14" customFormat="1" ht="13.5">
      <c r="A92" s="20"/>
      <c r="B92" s="16"/>
      <c r="C92" s="16"/>
      <c r="D92" s="16"/>
      <c r="E92" s="16" t="s">
        <v>128</v>
      </c>
      <c r="F92" s="74"/>
      <c r="G92" s="16"/>
      <c r="H92" s="16"/>
      <c r="I92" s="16"/>
      <c r="J92" s="16"/>
      <c r="K92" s="16"/>
      <c r="L92" s="16"/>
      <c r="N92" s="63"/>
      <c r="O92" s="58">
        <f>+O90-O91</f>
        <v>0</v>
      </c>
      <c r="P92" s="58">
        <f>+P90-P91</f>
        <v>0</v>
      </c>
      <c r="Q92" s="58">
        <f>+Q90-Q91</f>
        <v>0</v>
      </c>
      <c r="R92" s="58">
        <f>+R90-R91</f>
        <v>0</v>
      </c>
      <c r="S92" s="58">
        <f>+S90-S91</f>
        <v>0</v>
      </c>
      <c r="T92" s="22"/>
      <c r="U92" s="1"/>
      <c r="V92" s="1"/>
      <c r="W92" s="1"/>
      <c r="X92" s="1"/>
      <c r="Y92" s="1"/>
      <c r="Z92" s="1"/>
      <c r="AA92" s="1"/>
      <c r="AB92" s="1"/>
      <c r="AC92" s="1"/>
      <c r="AD92" s="1"/>
      <c r="AE92" s="1"/>
      <c r="AF92" s="1"/>
      <c r="AG92" s="1"/>
      <c r="AH92" s="1"/>
      <c r="AI92" s="1"/>
    </row>
    <row r="93" spans="1:35" s="14" customFormat="1" ht="13.5">
      <c r="A93" s="20"/>
      <c r="B93" s="16"/>
      <c r="C93" s="16"/>
      <c r="D93" s="16"/>
      <c r="E93" s="16"/>
      <c r="F93" s="74"/>
      <c r="G93" s="16"/>
      <c r="H93" s="16"/>
      <c r="I93" s="16"/>
      <c r="J93" s="16"/>
      <c r="K93" s="16"/>
      <c r="L93" s="16"/>
      <c r="N93" s="63"/>
      <c r="O93" s="16"/>
      <c r="P93" s="16"/>
      <c r="Q93" s="16"/>
      <c r="R93" s="16"/>
      <c r="S93" s="16"/>
      <c r="T93" s="22"/>
      <c r="U93" s="1"/>
      <c r="V93" s="1"/>
      <c r="W93" s="1"/>
      <c r="X93" s="1"/>
      <c r="Y93" s="1"/>
      <c r="Z93" s="1"/>
      <c r="AA93" s="1"/>
      <c r="AB93" s="1"/>
      <c r="AC93" s="1"/>
      <c r="AD93" s="1"/>
      <c r="AE93" s="1"/>
      <c r="AF93" s="1"/>
      <c r="AG93" s="1"/>
      <c r="AH93" s="1"/>
      <c r="AI93" s="1"/>
    </row>
    <row r="94" spans="1:35" s="14" customFormat="1" ht="14.25" thickBot="1">
      <c r="A94" s="20"/>
      <c r="B94" s="16"/>
      <c r="C94" s="16" t="s">
        <v>130</v>
      </c>
      <c r="D94" s="16"/>
      <c r="E94" s="16"/>
      <c r="F94" s="16"/>
      <c r="G94" s="16"/>
      <c r="H94" s="16"/>
      <c r="I94" s="16"/>
      <c r="J94" s="16"/>
      <c r="K94" s="16"/>
      <c r="L94" s="16"/>
      <c r="N94" s="63"/>
      <c r="O94" s="24">
        <f>+O71+O75+O78+O81+O84+O87+O92</f>
        <v>0.275</v>
      </c>
      <c r="P94" s="24">
        <f>+P71+P75+P78+P81+P84+P87+P92</f>
        <v>0.5750000000000001</v>
      </c>
      <c r="Q94" s="24">
        <f>+Q71+Q75+Q78+Q81+Q84+Q87+Q92</f>
        <v>0.6250000000000001</v>
      </c>
      <c r="R94" s="24">
        <f>+R71+R75+R78+R81+R84+R87+R92</f>
        <v>0.6250000000000001</v>
      </c>
      <c r="S94" s="24">
        <f>+S71+S75+S78+S81+S84+S87+S92</f>
        <v>0.7250000000000002</v>
      </c>
      <c r="T94" s="22"/>
      <c r="U94" s="1"/>
      <c r="V94" s="1"/>
      <c r="W94" s="1"/>
      <c r="X94" s="1"/>
      <c r="Y94" s="1"/>
      <c r="Z94" s="1"/>
      <c r="AA94" s="1"/>
      <c r="AB94" s="1"/>
      <c r="AC94" s="1"/>
      <c r="AD94" s="1"/>
      <c r="AE94" s="1"/>
      <c r="AF94" s="1"/>
      <c r="AG94" s="1"/>
      <c r="AH94" s="1"/>
      <c r="AI94" s="1"/>
    </row>
    <row r="95" spans="1:35" s="14" customFormat="1" ht="15" thickBot="1" thickTop="1">
      <c r="A95" s="25"/>
      <c r="B95" s="24"/>
      <c r="C95" s="24"/>
      <c r="D95" s="24"/>
      <c r="E95" s="24"/>
      <c r="F95" s="24"/>
      <c r="G95" s="24"/>
      <c r="H95" s="24"/>
      <c r="I95" s="24"/>
      <c r="J95" s="24"/>
      <c r="K95" s="24"/>
      <c r="L95" s="24"/>
      <c r="M95" s="24"/>
      <c r="N95" s="24"/>
      <c r="O95" s="24"/>
      <c r="P95" s="24"/>
      <c r="Q95" s="24"/>
      <c r="R95" s="24"/>
      <c r="S95" s="24"/>
      <c r="T95" s="26"/>
      <c r="U95" s="1"/>
      <c r="V95" s="1"/>
      <c r="W95" s="1"/>
      <c r="X95" s="1"/>
      <c r="Y95" s="1"/>
      <c r="Z95" s="1"/>
      <c r="AA95" s="1"/>
      <c r="AB95" s="1"/>
      <c r="AC95" s="1"/>
      <c r="AD95" s="1"/>
      <c r="AE95" s="1"/>
      <c r="AF95" s="1"/>
      <c r="AG95" s="1"/>
      <c r="AH95" s="1"/>
      <c r="AI95" s="1"/>
    </row>
    <row r="96" spans="1:35" s="14" customFormat="1" ht="14.25" thickTop="1">
      <c r="A96" s="16"/>
      <c r="B96" s="16"/>
      <c r="C96" s="16"/>
      <c r="D96" s="16"/>
      <c r="E96" s="16"/>
      <c r="F96" s="16"/>
      <c r="G96" s="16"/>
      <c r="H96" s="16"/>
      <c r="I96" s="16"/>
      <c r="J96" s="16"/>
      <c r="K96" s="16"/>
      <c r="L96" s="16"/>
      <c r="M96" s="16"/>
      <c r="N96" s="16"/>
      <c r="O96" s="16"/>
      <c r="P96" s="16"/>
      <c r="Q96" s="16"/>
      <c r="R96" s="16"/>
      <c r="S96" s="16"/>
      <c r="T96" s="16"/>
      <c r="U96" s="1"/>
      <c r="V96" s="1"/>
      <c r="W96" s="1"/>
      <c r="X96" s="1"/>
      <c r="Y96" s="1"/>
      <c r="Z96" s="1"/>
      <c r="AA96" s="1"/>
      <c r="AB96" s="1"/>
      <c r="AC96" s="1"/>
      <c r="AD96" s="1"/>
      <c r="AE96" s="1"/>
      <c r="AF96" s="1"/>
      <c r="AG96" s="1"/>
      <c r="AH96" s="1"/>
      <c r="AI96" s="1"/>
    </row>
    <row r="97" spans="1:35" s="14" customFormat="1" ht="17.25" thickBot="1">
      <c r="A97" s="203" t="str">
        <f>A6</f>
        <v>CALCULATIONS</v>
      </c>
      <c r="U97" s="1"/>
      <c r="V97" s="1"/>
      <c r="W97" s="1"/>
      <c r="X97" s="1"/>
      <c r="Y97" s="1"/>
      <c r="Z97" s="1"/>
      <c r="AA97" s="1"/>
      <c r="AB97" s="1"/>
      <c r="AC97" s="1"/>
      <c r="AD97" s="1"/>
      <c r="AE97" s="1"/>
      <c r="AF97" s="1"/>
      <c r="AG97" s="1"/>
      <c r="AH97" s="1"/>
      <c r="AI97" s="1"/>
    </row>
    <row r="98" spans="1:20" ht="14.25" thickTop="1">
      <c r="A98" s="37"/>
      <c r="B98" s="38"/>
      <c r="C98" s="38"/>
      <c r="D98" s="38"/>
      <c r="E98" s="38"/>
      <c r="F98" s="38"/>
      <c r="G98" s="38"/>
      <c r="H98" s="38"/>
      <c r="I98" s="38"/>
      <c r="J98" s="38"/>
      <c r="K98" s="38"/>
      <c r="L98" s="38" t="str">
        <f>Input!K16</f>
        <v>Pre-Implementation</v>
      </c>
      <c r="M98" s="38"/>
      <c r="N98" s="38"/>
      <c r="O98" s="38"/>
      <c r="P98" s="38"/>
      <c r="Q98" s="38" t="str">
        <f>Statements!M9</f>
        <v>Post-Implementation</v>
      </c>
      <c r="R98" s="38"/>
      <c r="S98" s="38"/>
      <c r="T98" s="39"/>
    </row>
    <row r="99" spans="1:20" ht="17.25" thickBot="1">
      <c r="A99" s="208"/>
      <c r="K99" s="43">
        <f>Input!I17</f>
        <v>33784.25</v>
      </c>
      <c r="L99" s="43">
        <f>Input!K17</f>
        <v>34149.5</v>
      </c>
      <c r="M99" s="43">
        <f>Input!M17</f>
        <v>34514.75</v>
      </c>
      <c r="N99" s="43">
        <f>Input!O17</f>
        <v>34880</v>
      </c>
      <c r="O99" s="43">
        <f aca="true" t="shared" si="1" ref="O99:T99">+O7</f>
        <v>35245.25</v>
      </c>
      <c r="P99" s="43">
        <f t="shared" si="1"/>
        <v>35610.5</v>
      </c>
      <c r="Q99" s="43">
        <f t="shared" si="1"/>
        <v>35975.75</v>
      </c>
      <c r="R99" s="43">
        <f t="shared" si="1"/>
        <v>36341</v>
      </c>
      <c r="S99" s="43">
        <f t="shared" si="1"/>
        <v>36706.25</v>
      </c>
      <c r="T99" s="209">
        <f t="shared" si="1"/>
        <v>0</v>
      </c>
    </row>
    <row r="100" spans="1:20" ht="15">
      <c r="A100" s="28"/>
      <c r="B100" s="93" t="s">
        <v>131</v>
      </c>
      <c r="S100" s="29"/>
      <c r="T100" s="32"/>
    </row>
    <row r="101" spans="1:20" ht="13.5">
      <c r="A101" s="28"/>
      <c r="C101" s="33" t="s">
        <v>132</v>
      </c>
      <c r="K101" s="33">
        <f>Statements!I112</f>
        <v>0</v>
      </c>
      <c r="L101" s="33">
        <f>Statements!J112</f>
        <v>0</v>
      </c>
      <c r="M101" s="33">
        <f>Statements!K112</f>
        <v>0</v>
      </c>
      <c r="N101" s="33">
        <f>Statements!L112</f>
        <v>37911</v>
      </c>
      <c r="O101" s="33">
        <f>Statements!M112</f>
        <v>40475.32736220473</v>
      </c>
      <c r="P101" s="33">
        <f>Statements!N112</f>
        <v>43163.55236220472</v>
      </c>
      <c r="Q101" s="33">
        <f>Statements!O112</f>
        <v>45986.45361220473</v>
      </c>
      <c r="R101" s="33">
        <f>Statements!P112</f>
        <v>48950.55242470473</v>
      </c>
      <c r="S101" s="29">
        <f>Statements!Q112</f>
        <v>52062.756177829746</v>
      </c>
      <c r="T101" s="32"/>
    </row>
    <row r="102" spans="1:20" ht="13.5">
      <c r="A102" s="28"/>
      <c r="C102" s="33" t="s">
        <v>112</v>
      </c>
      <c r="E102" s="33" t="s">
        <v>133</v>
      </c>
      <c r="K102" s="48">
        <f>Input!L162*(Statements!I38+Analyses!J14)</f>
        <v>0</v>
      </c>
      <c r="L102" s="48">
        <f>Input!L162*(Statements!J38+Analyses!K14)</f>
        <v>0</v>
      </c>
      <c r="M102" s="48">
        <f>Input!L162*(Statements!K38+Analyses!L14)</f>
        <v>0</v>
      </c>
      <c r="N102" s="48">
        <f>Input!L162*(Statements!L38+Analyses!M14)</f>
        <v>5740.200000000001</v>
      </c>
      <c r="O102" s="48">
        <f>Input!L162*(Statements!M38+Analyses!O14)</f>
        <v>6300.013310155511</v>
      </c>
      <c r="P102" s="48">
        <f>Input!L162*(Statements!N38+Analyses!P14)</f>
        <v>6897.273594561025</v>
      </c>
      <c r="Q102" s="48">
        <f>Input!L162*(Statements!O38+Analyses!Q14)</f>
        <v>7533.856893379035</v>
      </c>
      <c r="R102" s="48">
        <f>Input!L162*(Statements!P38+Analyses!R14)</f>
        <v>8211.730088655173</v>
      </c>
      <c r="S102" s="48">
        <f>Input!L162*(Statements!Q38+Analyses!S14)</f>
        <v>8932.95628221234</v>
      </c>
      <c r="T102" s="32"/>
    </row>
    <row r="103" spans="1:20" ht="14.25" thickBot="1">
      <c r="A103" s="28"/>
      <c r="D103" s="33" t="s">
        <v>134</v>
      </c>
      <c r="K103" s="60">
        <f aca="true" t="shared" si="2" ref="K103:S103">SUM(K101-K102)</f>
        <v>0</v>
      </c>
      <c r="L103" s="60">
        <f t="shared" si="2"/>
        <v>0</v>
      </c>
      <c r="M103" s="60">
        <f t="shared" si="2"/>
        <v>0</v>
      </c>
      <c r="N103" s="60">
        <f t="shared" si="2"/>
        <v>32170.8</v>
      </c>
      <c r="O103" s="60">
        <f t="shared" si="2"/>
        <v>34175.314052049216</v>
      </c>
      <c r="P103" s="60">
        <f t="shared" si="2"/>
        <v>36266.27876764369</v>
      </c>
      <c r="Q103" s="60">
        <f t="shared" si="2"/>
        <v>38452.59671882569</v>
      </c>
      <c r="R103" s="60">
        <f t="shared" si="2"/>
        <v>40738.822336049554</v>
      </c>
      <c r="S103" s="60">
        <f t="shared" si="2"/>
        <v>43129.799895617405</v>
      </c>
      <c r="T103" s="32"/>
    </row>
    <row r="104" spans="1:20" ht="14.25" thickTop="1">
      <c r="A104" s="28"/>
      <c r="S104" s="29"/>
      <c r="T104" s="32"/>
    </row>
    <row r="105" spans="1:20" ht="15">
      <c r="A105" s="28"/>
      <c r="B105" s="93" t="s">
        <v>135</v>
      </c>
      <c r="S105" s="29"/>
      <c r="T105" s="32"/>
    </row>
    <row r="106" spans="1:20" ht="13.5">
      <c r="A106" s="28"/>
      <c r="C106" s="33" t="s">
        <v>136</v>
      </c>
      <c r="O106" s="33">
        <f>Statements!M162</f>
        <v>9829.105739350396</v>
      </c>
      <c r="P106" s="33">
        <f>Statements!N162</f>
        <v>10176.740481850391</v>
      </c>
      <c r="Q106" s="33">
        <f>Statements!O162</f>
        <v>10536.278875975393</v>
      </c>
      <c r="R106" s="33">
        <f>Statements!P162</f>
        <v>10913.749003056642</v>
      </c>
      <c r="S106" s="29">
        <f>Statements!Q162</f>
        <v>11310.178706491957</v>
      </c>
      <c r="T106" s="32"/>
    </row>
    <row r="107" spans="1:20" ht="13.5">
      <c r="A107" s="28"/>
      <c r="C107" s="33" t="s">
        <v>137</v>
      </c>
      <c r="E107" s="33" t="s">
        <v>138</v>
      </c>
      <c r="O107" s="33">
        <f>(Input!L7+Input!L9+Input!L11)</f>
        <v>6.5</v>
      </c>
      <c r="P107" s="33">
        <f>(Input!M7+Input!M9+Input!M11)</f>
        <v>1.5</v>
      </c>
      <c r="Q107" s="33">
        <f>(Input!N7+Input!N9+Input!N11)</f>
        <v>1.5</v>
      </c>
      <c r="R107" s="33">
        <f>(Input!O7+Input!O9+Input!O11)</f>
        <v>1.5</v>
      </c>
      <c r="S107" s="29">
        <f>(Input!P7+Input!P9+Input!P11)</f>
        <v>1.5</v>
      </c>
      <c r="T107" s="32"/>
    </row>
    <row r="108" spans="1:20" ht="14.25" thickBot="1">
      <c r="A108" s="28"/>
      <c r="D108" s="33" t="s">
        <v>139</v>
      </c>
      <c r="O108" s="60">
        <f>O106-O107</f>
        <v>9822.605739350396</v>
      </c>
      <c r="P108" s="60">
        <f>P106-P107</f>
        <v>10175.240481850391</v>
      </c>
      <c r="Q108" s="60">
        <f>Q106-Q107</f>
        <v>10534.778875975393</v>
      </c>
      <c r="R108" s="60">
        <f>R106-R107</f>
        <v>10912.249003056642</v>
      </c>
      <c r="S108" s="60">
        <f>S106-S107</f>
        <v>11308.678706491957</v>
      </c>
      <c r="T108" s="32"/>
    </row>
    <row r="109" spans="1:20" ht="15" thickBot="1" thickTop="1">
      <c r="A109" s="34"/>
      <c r="B109" s="35"/>
      <c r="C109" s="35"/>
      <c r="D109" s="35"/>
      <c r="E109" s="35"/>
      <c r="F109" s="35"/>
      <c r="G109" s="35"/>
      <c r="H109" s="35"/>
      <c r="I109" s="35"/>
      <c r="J109" s="35"/>
      <c r="K109" s="35"/>
      <c r="L109" s="35"/>
      <c r="M109" s="35"/>
      <c r="N109" s="35"/>
      <c r="O109" s="35"/>
      <c r="P109" s="35"/>
      <c r="Q109" s="35"/>
      <c r="R109" s="35"/>
      <c r="S109" s="35"/>
      <c r="T109" s="36"/>
    </row>
    <row r="110" spans="1:20" ht="15" thickBot="1" thickTop="1">
      <c r="A110" s="38"/>
      <c r="S110" s="29"/>
      <c r="T110" s="38"/>
    </row>
    <row r="111" spans="2:20" ht="14.25" thickTop="1">
      <c r="B111" s="38"/>
      <c r="C111" s="38"/>
      <c r="D111" s="38"/>
      <c r="E111" s="38"/>
      <c r="F111" s="38"/>
      <c r="G111" s="38"/>
      <c r="H111" s="38"/>
      <c r="I111" s="38"/>
      <c r="J111" s="38"/>
      <c r="K111" s="38"/>
      <c r="L111" s="38"/>
      <c r="M111" s="38"/>
      <c r="N111" s="38"/>
      <c r="O111" s="38"/>
      <c r="P111" s="38"/>
      <c r="Q111" s="38"/>
      <c r="R111" s="38"/>
      <c r="S111" s="38"/>
      <c r="T111" s="29"/>
    </row>
  </sheetData>
  <sheetProtection password="C4D6" sheet="1" objects="1" scenarios="1"/>
  <printOptions horizontalCentered="1"/>
  <pageMargins left="0.75" right="0.75" top="0.75" bottom="0.5" header="0.25" footer="0.5"/>
  <pageSetup fitToHeight="5" horizontalDpi="300" verticalDpi="300" orientation="landscape" pageOrder="overThenDown" scale="75" r:id="rId1"/>
  <headerFooter alignWithMargins="0">
    <oddHeader>&amp;L&amp;"Book Antiqua,Bold"Maximize ERP Project&amp;C&amp;"Book Antiqua,Bold"Financial Model&amp;R&amp;"Book Antiqua,Bold"&amp;A - &amp;F</oddHeader>
    <oddFooter>&amp;L&amp;"Book Antiqua,Bold"STRICTLY CONFIDENTIAL -- 
Unaudited Preliminary Draft
For discussion and review purposes only
&amp;C&amp;"Book Antiqua,Bold"&amp;P of &amp;N&amp;R&amp;"Book Antiqua,Bold"&amp;D, &amp;T</oddFooter>
  </headerFooter>
  <rowBreaks count="8" manualBreakCount="8">
    <brk id="31" max="65535" man="1"/>
    <brk id="54" max="65535" man="1"/>
    <brk id="96" max="65535" man="1"/>
    <brk id="110" max="65535" man="1"/>
    <brk id="152" max="65535" man="1"/>
    <brk id="197" max="65535" man="1"/>
    <brk id="232" max="65535" man="1"/>
    <brk id="259" max="65535" man="1"/>
  </rowBreaks>
</worksheet>
</file>

<file path=xl/worksheets/sheet4.xml><?xml version="1.0" encoding="utf-8"?>
<worksheet xmlns="http://schemas.openxmlformats.org/spreadsheetml/2006/main" xmlns:r="http://schemas.openxmlformats.org/officeDocument/2006/relationships">
  <dimension ref="A1:AQ233"/>
  <sheetViews>
    <sheetView showGridLines="0" zoomScale="75" zoomScaleNormal="75" workbookViewId="0" topLeftCell="A1">
      <pane xSplit="7" ySplit="5" topLeftCell="H29" activePane="bottomRight" state="frozen"/>
      <selection pane="topLeft" activeCell="B38" sqref="B38"/>
      <selection pane="topRight" activeCell="B38" sqref="B38"/>
      <selection pane="bottomLeft" activeCell="B38" sqref="B38"/>
      <selection pane="bottomRight" activeCell="M35" sqref="M35"/>
    </sheetView>
  </sheetViews>
  <sheetFormatPr defaultColWidth="9.00390625" defaultRowHeight="12.75" outlineLevelRow="1"/>
  <cols>
    <col min="1" max="5" width="2.75390625" style="33" customWidth="1"/>
    <col min="6" max="6" width="13.75390625" style="33" customWidth="1"/>
    <col min="7" max="7" width="20.75390625" style="33" customWidth="1"/>
    <col min="8" max="8" width="8.25390625" style="33" customWidth="1"/>
    <col min="9" max="10" width="7.75390625" style="33" customWidth="1"/>
    <col min="11" max="11" width="9.625" style="33" customWidth="1"/>
    <col min="12" max="12" width="10.375" style="33" customWidth="1"/>
    <col min="13" max="13" width="11.25390625" style="33" customWidth="1"/>
    <col min="14" max="17" width="12.00390625" style="33" customWidth="1"/>
    <col min="18" max="18" width="0.875" style="33" customWidth="1" collapsed="1"/>
    <col min="19" max="32" width="8.75390625" style="1" customWidth="1"/>
    <col min="33" max="33" width="0.875" style="1" customWidth="1"/>
    <col min="34" max="43" width="8.75390625" style="1" customWidth="1"/>
    <col min="44" max="56" width="8.75390625" style="33" customWidth="1"/>
    <col min="57" max="16384" width="10.75390625" style="33" customWidth="1"/>
  </cols>
  <sheetData>
    <row r="1" spans="19:43" s="2" customFormat="1" ht="14.25" customHeight="1" thickBot="1">
      <c r="S1" s="1"/>
      <c r="T1" s="1"/>
      <c r="U1" s="1"/>
      <c r="V1" s="1"/>
      <c r="W1" s="1"/>
      <c r="X1" s="1"/>
      <c r="Y1" s="1"/>
      <c r="Z1" s="1"/>
      <c r="AA1" s="1"/>
      <c r="AB1" s="1"/>
      <c r="AC1" s="1"/>
      <c r="AD1" s="1"/>
      <c r="AE1" s="1"/>
      <c r="AF1" s="1"/>
      <c r="AG1" s="1"/>
      <c r="AH1" s="1"/>
      <c r="AI1" s="1"/>
      <c r="AJ1" s="1"/>
      <c r="AK1" s="1"/>
      <c r="AL1" s="1"/>
      <c r="AM1" s="1"/>
      <c r="AN1" s="1"/>
      <c r="AO1" s="1"/>
      <c r="AP1" s="1"/>
      <c r="AQ1" s="1"/>
    </row>
    <row r="2" spans="7:43" s="3" customFormat="1" ht="15.75" customHeight="1" thickTop="1">
      <c r="G2" s="4" t="str">
        <f>+Input!$G$2</f>
        <v>What-If Model</v>
      </c>
      <c r="K2" s="223" t="str">
        <f ca="1">TEXT(NOW(),"mmmm d, yyyy")</f>
        <v>June 8, 2004</v>
      </c>
      <c r="L2" s="224"/>
      <c r="M2" s="225"/>
      <c r="P2" s="8"/>
      <c r="S2" s="1"/>
      <c r="T2" s="1"/>
      <c r="U2" s="1"/>
      <c r="V2" s="1"/>
      <c r="W2" s="1"/>
      <c r="X2" s="1"/>
      <c r="Y2" s="1"/>
      <c r="Z2" s="1"/>
      <c r="AA2" s="1"/>
      <c r="AB2" s="1"/>
      <c r="AC2" s="1"/>
      <c r="AD2" s="1"/>
      <c r="AE2" s="1"/>
      <c r="AF2" s="1"/>
      <c r="AG2" s="1"/>
      <c r="AH2" s="1"/>
      <c r="AI2" s="1"/>
      <c r="AJ2" s="1"/>
      <c r="AK2" s="1"/>
      <c r="AL2" s="1"/>
      <c r="AM2" s="1"/>
      <c r="AN2" s="1"/>
      <c r="AO2" s="1"/>
      <c r="AP2" s="1"/>
      <c r="AQ2" s="1"/>
    </row>
    <row r="3" spans="11:43" s="3" customFormat="1" ht="13.5" customHeight="1" thickBot="1">
      <c r="K3" s="226">
        <f ca="1">NOW()</f>
        <v>36684.46044386574</v>
      </c>
      <c r="L3" s="227"/>
      <c r="M3" s="228"/>
      <c r="P3" s="8"/>
      <c r="S3" s="1"/>
      <c r="T3" s="1"/>
      <c r="U3" s="1"/>
      <c r="V3" s="1"/>
      <c r="W3" s="1"/>
      <c r="X3" s="1"/>
      <c r="Y3" s="1"/>
      <c r="Z3" s="1"/>
      <c r="AA3" s="1"/>
      <c r="AB3" s="1"/>
      <c r="AC3" s="1"/>
      <c r="AD3" s="1"/>
      <c r="AE3" s="1"/>
      <c r="AF3" s="1"/>
      <c r="AG3" s="1"/>
      <c r="AH3" s="1"/>
      <c r="AI3" s="1"/>
      <c r="AJ3" s="1"/>
      <c r="AK3" s="1"/>
      <c r="AL3" s="1"/>
      <c r="AM3" s="1"/>
      <c r="AN3" s="1"/>
      <c r="AO3" s="1"/>
      <c r="AP3" s="1"/>
      <c r="AQ3" s="1"/>
    </row>
    <row r="4" spans="16:43" s="65" customFormat="1" ht="13.5" customHeight="1" thickTop="1">
      <c r="P4" s="66"/>
      <c r="S4" s="1"/>
      <c r="T4" s="1"/>
      <c r="U4" s="1"/>
      <c r="V4" s="1"/>
      <c r="W4" s="1"/>
      <c r="X4" s="1"/>
      <c r="Y4" s="1"/>
      <c r="Z4" s="1"/>
      <c r="AA4" s="1"/>
      <c r="AB4" s="1"/>
      <c r="AC4" s="1"/>
      <c r="AD4" s="1"/>
      <c r="AE4" s="1"/>
      <c r="AF4" s="1"/>
      <c r="AG4" s="1"/>
      <c r="AH4" s="1"/>
      <c r="AI4" s="1"/>
      <c r="AJ4" s="1"/>
      <c r="AK4" s="1"/>
      <c r="AL4" s="1"/>
      <c r="AM4" s="1"/>
      <c r="AN4" s="1"/>
      <c r="AO4" s="1"/>
      <c r="AP4" s="1"/>
      <c r="AQ4" s="1"/>
    </row>
    <row r="5" spans="19:43" s="67" customFormat="1" ht="9.75" customHeight="1" thickBot="1">
      <c r="S5" s="1"/>
      <c r="T5" s="1"/>
      <c r="U5" s="1"/>
      <c r="V5" s="1"/>
      <c r="W5" s="1"/>
      <c r="X5" s="1"/>
      <c r="Y5" s="1"/>
      <c r="Z5" s="1"/>
      <c r="AA5" s="1"/>
      <c r="AB5" s="1"/>
      <c r="AC5" s="1"/>
      <c r="AD5" s="1"/>
      <c r="AE5" s="1"/>
      <c r="AF5" s="1"/>
      <c r="AG5" s="1"/>
      <c r="AH5" s="1"/>
      <c r="AI5" s="1"/>
      <c r="AJ5" s="1"/>
      <c r="AK5" s="1"/>
      <c r="AL5" s="1"/>
      <c r="AM5" s="1"/>
      <c r="AN5" s="1"/>
      <c r="AO5" s="1"/>
      <c r="AP5" s="1"/>
      <c r="AQ5" s="1"/>
    </row>
    <row r="6" ht="3" customHeight="1"/>
    <row r="7" spans="1:18" ht="14.25" customHeight="1" thickBot="1">
      <c r="A7" s="122" t="s">
        <v>140</v>
      </c>
      <c r="B7" s="56"/>
      <c r="C7" s="56"/>
      <c r="D7" s="56"/>
      <c r="E7" s="56"/>
      <c r="F7" s="56"/>
      <c r="G7" s="56"/>
      <c r="H7" s="56"/>
      <c r="I7" s="56"/>
      <c r="J7" s="56"/>
      <c r="K7" s="56"/>
      <c r="L7" s="56"/>
      <c r="M7" s="56"/>
      <c r="N7" s="56"/>
      <c r="O7" s="56"/>
      <c r="P7" s="56"/>
      <c r="Q7" s="56"/>
      <c r="R7" s="56"/>
    </row>
    <row r="8" spans="1:18" ht="15">
      <c r="A8" s="40"/>
      <c r="B8" s="29"/>
      <c r="C8" s="29"/>
      <c r="D8" s="29"/>
      <c r="E8" s="29"/>
      <c r="F8" s="29"/>
      <c r="G8" s="29"/>
      <c r="H8" s="29"/>
      <c r="I8" s="103"/>
      <c r="J8" s="103"/>
      <c r="K8" s="103"/>
      <c r="L8" s="29"/>
      <c r="M8" s="29"/>
      <c r="N8" s="29"/>
      <c r="O8" s="29"/>
      <c r="P8" s="29"/>
      <c r="Q8" s="29"/>
      <c r="R8" s="29"/>
    </row>
    <row r="9" spans="8:18" ht="15">
      <c r="H9" s="29"/>
      <c r="I9" s="202"/>
      <c r="J9" s="194" t="str">
        <f>Input!K86</f>
        <v>Pre-Implementation</v>
      </c>
      <c r="K9" s="194"/>
      <c r="L9" s="16"/>
      <c r="M9" s="143" t="s">
        <v>141</v>
      </c>
      <c r="N9" s="104"/>
      <c r="O9" s="104"/>
      <c r="P9" s="104"/>
      <c r="Q9" s="104"/>
      <c r="R9" s="73"/>
    </row>
    <row r="10" spans="1:17" ht="15.75" thickBot="1">
      <c r="A10" s="99" t="s">
        <v>142</v>
      </c>
      <c r="H10" s="29"/>
      <c r="I10" s="142">
        <f>Input!J87</f>
        <v>33784.25</v>
      </c>
      <c r="J10" s="142">
        <f>Input!K87</f>
        <v>34149.5</v>
      </c>
      <c r="K10" s="142">
        <f>Input!L87</f>
        <v>34514.75</v>
      </c>
      <c r="L10" s="142">
        <f>Input!M87</f>
        <v>34880</v>
      </c>
      <c r="M10" s="142">
        <f>Input!O$87</f>
        <v>35245.25</v>
      </c>
      <c r="N10" s="142">
        <f>Input!P$87</f>
        <v>35610.5</v>
      </c>
      <c r="O10" s="142">
        <f>Input!Q$87</f>
        <v>35975.75</v>
      </c>
      <c r="P10" s="142">
        <f>Input!R$87</f>
        <v>36341</v>
      </c>
      <c r="Q10" s="142">
        <f>Input!S$87</f>
        <v>36706.25</v>
      </c>
    </row>
    <row r="11" spans="8:43" s="14" customFormat="1" ht="13.5">
      <c r="H11" s="29"/>
      <c r="L11" s="146"/>
      <c r="M11" s="16"/>
      <c r="S11" s="1"/>
      <c r="T11" s="1"/>
      <c r="U11" s="1"/>
      <c r="V11" s="1"/>
      <c r="W11" s="1"/>
      <c r="X11" s="1"/>
      <c r="Y11" s="1"/>
      <c r="Z11" s="1"/>
      <c r="AA11" s="1"/>
      <c r="AB11" s="1"/>
      <c r="AC11" s="1"/>
      <c r="AD11" s="1"/>
      <c r="AE11" s="1"/>
      <c r="AF11" s="1"/>
      <c r="AG11" s="1"/>
      <c r="AH11" s="1"/>
      <c r="AI11" s="1"/>
      <c r="AJ11" s="1"/>
      <c r="AK11" s="1"/>
      <c r="AL11" s="1"/>
      <c r="AM11" s="1"/>
      <c r="AN11" s="1"/>
      <c r="AO11" s="1"/>
      <c r="AP11" s="1"/>
      <c r="AQ11" s="1"/>
    </row>
    <row r="12" spans="2:43" s="14" customFormat="1" ht="13.5">
      <c r="B12" s="14" t="s">
        <v>29</v>
      </c>
      <c r="H12" s="29"/>
      <c r="L12" s="16"/>
      <c r="M12" s="16"/>
      <c r="S12" s="1"/>
      <c r="T12" s="1"/>
      <c r="U12" s="1"/>
      <c r="V12" s="1"/>
      <c r="W12" s="1"/>
      <c r="X12" s="1"/>
      <c r="Y12" s="1"/>
      <c r="Z12" s="1"/>
      <c r="AA12" s="1"/>
      <c r="AB12" s="1"/>
      <c r="AC12" s="1"/>
      <c r="AD12" s="1"/>
      <c r="AE12" s="1"/>
      <c r="AF12" s="1"/>
      <c r="AG12" s="1"/>
      <c r="AH12" s="1"/>
      <c r="AI12" s="1"/>
      <c r="AJ12" s="1"/>
      <c r="AK12" s="1"/>
      <c r="AL12" s="1"/>
      <c r="AM12" s="1"/>
      <c r="AN12" s="1"/>
      <c r="AO12" s="1"/>
      <c r="AP12" s="1"/>
      <c r="AQ12" s="1"/>
    </row>
    <row r="13" spans="3:43" s="14" customFormat="1" ht="13.5">
      <c r="C13" s="14" t="str">
        <f>+Input!$E41</f>
        <v>Cash</v>
      </c>
      <c r="I13" s="14">
        <f>+Input!$I41</f>
        <v>0</v>
      </c>
      <c r="J13" s="14">
        <f>+Input!$K41</f>
        <v>0</v>
      </c>
      <c r="K13" s="14">
        <f>+Input!$M41</f>
        <v>0</v>
      </c>
      <c r="L13" s="16">
        <f>+Input!$O41</f>
        <v>1652</v>
      </c>
      <c r="M13" s="16">
        <f>+M166</f>
        <v>11481.105739350396</v>
      </c>
      <c r="N13" s="14">
        <f>+N166</f>
        <v>21657.846221200787</v>
      </c>
      <c r="O13" s="14">
        <f>+O166</f>
        <v>32194.12509717618</v>
      </c>
      <c r="P13" s="14">
        <f>+P166</f>
        <v>43107.874100232824</v>
      </c>
      <c r="Q13" s="14">
        <f>+Q166</f>
        <v>54418.05280672478</v>
      </c>
      <c r="S13" s="1"/>
      <c r="T13" s="1"/>
      <c r="U13" s="1"/>
      <c r="V13" s="1"/>
      <c r="W13" s="1"/>
      <c r="X13" s="1"/>
      <c r="Y13" s="1"/>
      <c r="Z13" s="1"/>
      <c r="AA13" s="1"/>
      <c r="AB13" s="1"/>
      <c r="AC13" s="1"/>
      <c r="AD13" s="1"/>
      <c r="AE13" s="1"/>
      <c r="AF13" s="1"/>
      <c r="AG13" s="1"/>
      <c r="AH13" s="1"/>
      <c r="AI13" s="1"/>
      <c r="AJ13" s="1"/>
      <c r="AK13" s="1"/>
      <c r="AL13" s="1"/>
      <c r="AM13" s="1"/>
      <c r="AN13" s="1"/>
      <c r="AO13" s="1"/>
      <c r="AP13" s="1"/>
      <c r="AQ13" s="1"/>
    </row>
    <row r="14" spans="3:43" s="14" customFormat="1" ht="13.5">
      <c r="C14" s="14" t="str">
        <f>+Input!$E42</f>
        <v>Accounts Receivable</v>
      </c>
      <c r="I14" s="14">
        <f>+Input!$I42</f>
        <v>0</v>
      </c>
      <c r="J14" s="14">
        <f>+Input!$K42</f>
        <v>0</v>
      </c>
      <c r="K14" s="14">
        <f>+Input!$M42</f>
        <v>0</v>
      </c>
      <c r="L14" s="16">
        <f>+Input!$O42</f>
        <v>6860</v>
      </c>
      <c r="M14" s="16">
        <f>(L14*(1+Input!O110))*(1+Input!O90)</f>
        <v>7203</v>
      </c>
      <c r="N14" s="16">
        <f>(M14*(1+Input!P110))*(1+Input!P90)</f>
        <v>7563.150000000001</v>
      </c>
      <c r="O14" s="16">
        <f>(N14*(1+Input!Q110))*(1+Input!Q90)</f>
        <v>7941.307500000001</v>
      </c>
      <c r="P14" s="16">
        <f>(O14*(1+Input!R110))*(1+Input!R90)</f>
        <v>8338.372875000001</v>
      </c>
      <c r="Q14" s="16">
        <f>(P14*(1+Input!S110))*(1+Input!S90)</f>
        <v>8755.291518750002</v>
      </c>
      <c r="S14" s="1"/>
      <c r="T14" s="1"/>
      <c r="U14" s="1"/>
      <c r="V14" s="1"/>
      <c r="W14" s="1"/>
      <c r="X14" s="1"/>
      <c r="Y14" s="1"/>
      <c r="Z14" s="1"/>
      <c r="AA14" s="1"/>
      <c r="AB14" s="1"/>
      <c r="AC14" s="1"/>
      <c r="AD14" s="1"/>
      <c r="AE14" s="1"/>
      <c r="AF14" s="1"/>
      <c r="AG14" s="1"/>
      <c r="AH14" s="1"/>
      <c r="AI14" s="1"/>
      <c r="AJ14" s="1"/>
      <c r="AK14" s="1"/>
      <c r="AL14" s="1"/>
      <c r="AM14" s="1"/>
      <c r="AN14" s="1"/>
      <c r="AO14" s="1"/>
      <c r="AP14" s="1"/>
      <c r="AQ14" s="1"/>
    </row>
    <row r="15" spans="3:43" s="14" customFormat="1" ht="13.5">
      <c r="C15" s="14" t="str">
        <f>+Input!$E43</f>
        <v>Inventory</v>
      </c>
      <c r="I15" s="14">
        <f>+Input!$I43</f>
        <v>0</v>
      </c>
      <c r="J15" s="14">
        <f>+Input!$K43</f>
        <v>0</v>
      </c>
      <c r="K15" s="14">
        <f>+Input!$M43</f>
        <v>0</v>
      </c>
      <c r="L15" s="16">
        <f>+Input!$O43</f>
        <v>5472</v>
      </c>
      <c r="M15" s="16">
        <f>(L15*(1+Input!O111))*(1+Input!O90)</f>
        <v>5745.6</v>
      </c>
      <c r="N15" s="16">
        <f>(M15*(1+Input!P111))*(1+Input!P90)</f>
        <v>6032.880000000001</v>
      </c>
      <c r="O15" s="16">
        <f>(N15*(1+Input!Q111))*(1+Input!Q90)</f>
        <v>6334.524000000001</v>
      </c>
      <c r="P15" s="16">
        <f>(O15*(1+Input!R111))*(1+Input!R90)</f>
        <v>6651.250200000001</v>
      </c>
      <c r="Q15" s="16">
        <f>(P15*(1+Input!S111))*(1+Input!S90)</f>
        <v>6983.812710000002</v>
      </c>
      <c r="S15" s="1"/>
      <c r="T15" s="1"/>
      <c r="U15" s="1"/>
      <c r="V15" s="1"/>
      <c r="W15" s="1"/>
      <c r="X15" s="1"/>
      <c r="Y15" s="1"/>
      <c r="Z15" s="1"/>
      <c r="AA15" s="1"/>
      <c r="AB15" s="1"/>
      <c r="AC15" s="1"/>
      <c r="AD15" s="1"/>
      <c r="AE15" s="1"/>
      <c r="AF15" s="1"/>
      <c r="AG15" s="1"/>
      <c r="AH15" s="1"/>
      <c r="AI15" s="1"/>
      <c r="AJ15" s="1"/>
      <c r="AK15" s="1"/>
      <c r="AL15" s="1"/>
      <c r="AM15" s="1"/>
      <c r="AN15" s="1"/>
      <c r="AO15" s="1"/>
      <c r="AP15" s="1"/>
      <c r="AQ15" s="1"/>
    </row>
    <row r="16" spans="3:43" s="14" customFormat="1" ht="13.5">
      <c r="C16" s="14" t="str">
        <f>+Input!$E44</f>
        <v>Prepaid Expenses</v>
      </c>
      <c r="I16" s="14">
        <f>+Input!$I44</f>
        <v>0</v>
      </c>
      <c r="J16" s="14">
        <f>+Input!$K44</f>
        <v>0</v>
      </c>
      <c r="K16" s="14">
        <f>+Input!$M44</f>
        <v>0</v>
      </c>
      <c r="L16" s="16">
        <f>+Input!$O44</f>
        <v>875</v>
      </c>
      <c r="M16" s="16">
        <f>(L16*(1+Input!O112))*(1+Input!O90)</f>
        <v>918.75</v>
      </c>
      <c r="N16" s="16">
        <f>(M16*(1+Input!P112))*(1+Input!P90)</f>
        <v>964.6875</v>
      </c>
      <c r="O16" s="16">
        <f>(N16*(1+Input!Q112))*(1+Input!Q90)</f>
        <v>1012.921875</v>
      </c>
      <c r="P16" s="16">
        <f>(O16*(1+Input!R112))*(1+Input!R90)</f>
        <v>1063.56796875</v>
      </c>
      <c r="Q16" s="16">
        <f>(P16*(1+Input!S112))*(1+Input!S90)</f>
        <v>1116.7463671875003</v>
      </c>
      <c r="R16" s="16">
        <f>(R$85/Input!$M$139)*Input!T112</f>
        <v>0</v>
      </c>
      <c r="S16" s="1"/>
      <c r="T16" s="1"/>
      <c r="U16" s="1"/>
      <c r="V16" s="1"/>
      <c r="W16" s="1"/>
      <c r="X16" s="1"/>
      <c r="Y16" s="1"/>
      <c r="Z16" s="1"/>
      <c r="AA16" s="1"/>
      <c r="AB16" s="1"/>
      <c r="AC16" s="1"/>
      <c r="AD16" s="1"/>
      <c r="AE16" s="1"/>
      <c r="AF16" s="1"/>
      <c r="AG16" s="1"/>
      <c r="AH16" s="1"/>
      <c r="AI16" s="1"/>
      <c r="AJ16" s="1"/>
      <c r="AK16" s="1"/>
      <c r="AL16" s="1"/>
      <c r="AM16" s="1"/>
      <c r="AN16" s="1"/>
      <c r="AO16" s="1"/>
      <c r="AP16" s="1"/>
      <c r="AQ16" s="1"/>
    </row>
    <row r="17" spans="3:43" s="14" customFormat="1" ht="13.5">
      <c r="C17" s="14" t="str">
        <f>+Input!$E45</f>
        <v>Other Current Assets</v>
      </c>
      <c r="I17" s="23">
        <f>+Input!$I45</f>
        <v>0</v>
      </c>
      <c r="J17" s="23">
        <f>+Input!$K45</f>
        <v>0</v>
      </c>
      <c r="K17" s="23">
        <f>+Input!$M45</f>
        <v>0</v>
      </c>
      <c r="L17" s="27">
        <f>+Input!$O45</f>
        <v>4790</v>
      </c>
      <c r="M17" s="23">
        <f>(L17*(1+Input!O113))*(1+Input!O90)</f>
        <v>5029.5</v>
      </c>
      <c r="N17" s="23">
        <f>(M17*(1+Input!P113))*(1+Input!P90)</f>
        <v>5280.975</v>
      </c>
      <c r="O17" s="23">
        <f>(N17*(1+Input!Q113))*(1+Input!Q90)</f>
        <v>5545.02375</v>
      </c>
      <c r="P17" s="23">
        <f>(O17*(1+Input!R113))*(1+Input!R90)</f>
        <v>5822.2749375</v>
      </c>
      <c r="Q17" s="23">
        <f>(P17*(1+Input!S113))*(1+Input!S90)</f>
        <v>6113.388684375001</v>
      </c>
      <c r="S17" s="1"/>
      <c r="T17" s="1"/>
      <c r="U17" s="1"/>
      <c r="V17" s="1"/>
      <c r="W17" s="1"/>
      <c r="X17" s="1"/>
      <c r="Y17" s="1"/>
      <c r="Z17" s="1"/>
      <c r="AA17" s="1"/>
      <c r="AB17" s="1"/>
      <c r="AC17" s="1"/>
      <c r="AD17" s="1"/>
      <c r="AE17" s="1"/>
      <c r="AF17" s="1"/>
      <c r="AG17" s="1"/>
      <c r="AH17" s="1"/>
      <c r="AI17" s="1"/>
      <c r="AJ17" s="1"/>
      <c r="AK17" s="1"/>
      <c r="AL17" s="1"/>
      <c r="AM17" s="1"/>
      <c r="AN17" s="1"/>
      <c r="AO17" s="1"/>
      <c r="AP17" s="1"/>
      <c r="AQ17" s="1"/>
    </row>
    <row r="18" spans="4:43" s="14" customFormat="1" ht="13.5">
      <c r="D18" s="14" t="s">
        <v>143</v>
      </c>
      <c r="I18" s="16">
        <f>SUM(I13:I17)</f>
        <v>0</v>
      </c>
      <c r="J18" s="16">
        <f>SUM(J13:J17)</f>
        <v>0</v>
      </c>
      <c r="K18" s="16">
        <f>SUM(K13:K17)</f>
        <v>0</v>
      </c>
      <c r="L18" s="16">
        <f aca="true" t="shared" si="0" ref="L18:Q18">SUM(L13:L17)</f>
        <v>19649</v>
      </c>
      <c r="M18" s="16">
        <f t="shared" si="0"/>
        <v>30377.955739350393</v>
      </c>
      <c r="N18" s="14">
        <f t="shared" si="0"/>
        <v>41499.538721200784</v>
      </c>
      <c r="O18" s="14">
        <f t="shared" si="0"/>
        <v>53027.90222217618</v>
      </c>
      <c r="P18" s="14">
        <f t="shared" si="0"/>
        <v>64983.34008148283</v>
      </c>
      <c r="Q18" s="14">
        <f t="shared" si="0"/>
        <v>77387.29208703729</v>
      </c>
      <c r="S18" s="1"/>
      <c r="T18" s="1"/>
      <c r="U18" s="1"/>
      <c r="V18" s="1"/>
      <c r="W18" s="1"/>
      <c r="X18" s="1"/>
      <c r="Y18" s="1"/>
      <c r="Z18" s="1"/>
      <c r="AA18" s="1"/>
      <c r="AB18" s="1"/>
      <c r="AC18" s="1"/>
      <c r="AD18" s="1"/>
      <c r="AE18" s="1"/>
      <c r="AF18" s="1"/>
      <c r="AG18" s="1"/>
      <c r="AH18" s="1"/>
      <c r="AI18" s="1"/>
      <c r="AJ18" s="1"/>
      <c r="AK18" s="1"/>
      <c r="AL18" s="1"/>
      <c r="AM18" s="1"/>
      <c r="AN18" s="1"/>
      <c r="AO18" s="1"/>
      <c r="AP18" s="1"/>
      <c r="AQ18" s="1"/>
    </row>
    <row r="19" spans="12:43" s="14" customFormat="1" ht="13.5">
      <c r="L19" s="16"/>
      <c r="M19" s="16"/>
      <c r="S19" s="1"/>
      <c r="T19" s="1"/>
      <c r="U19" s="1"/>
      <c r="V19" s="1"/>
      <c r="W19" s="1"/>
      <c r="X19" s="1"/>
      <c r="Y19" s="1"/>
      <c r="Z19" s="1"/>
      <c r="AA19" s="1"/>
      <c r="AB19" s="1"/>
      <c r="AC19" s="1"/>
      <c r="AD19" s="1"/>
      <c r="AE19" s="1"/>
      <c r="AF19" s="1"/>
      <c r="AG19" s="1"/>
      <c r="AH19" s="1"/>
      <c r="AI19" s="1"/>
      <c r="AJ19" s="1"/>
      <c r="AK19" s="1"/>
      <c r="AL19" s="1"/>
      <c r="AM19" s="1"/>
      <c r="AN19" s="1"/>
      <c r="AO19" s="1"/>
      <c r="AP19" s="1"/>
      <c r="AQ19" s="1"/>
    </row>
    <row r="20" spans="2:43" s="14" customFormat="1" ht="13.5">
      <c r="B20" s="14" t="s">
        <v>35</v>
      </c>
      <c r="L20" s="16"/>
      <c r="M20" s="16"/>
      <c r="S20" s="1"/>
      <c r="T20" s="1"/>
      <c r="U20" s="1"/>
      <c r="V20" s="1"/>
      <c r="W20" s="1"/>
      <c r="X20" s="1"/>
      <c r="Y20" s="1"/>
      <c r="Z20" s="1"/>
      <c r="AA20" s="1"/>
      <c r="AB20" s="1"/>
      <c r="AC20" s="1"/>
      <c r="AD20" s="1"/>
      <c r="AE20" s="1"/>
      <c r="AF20" s="1"/>
      <c r="AG20" s="1"/>
      <c r="AH20" s="1"/>
      <c r="AI20" s="1"/>
      <c r="AJ20" s="1"/>
      <c r="AK20" s="1"/>
      <c r="AL20" s="1"/>
      <c r="AM20" s="1"/>
      <c r="AN20" s="1"/>
      <c r="AO20" s="1"/>
      <c r="AP20" s="1"/>
      <c r="AQ20" s="1"/>
    </row>
    <row r="21" spans="3:43" s="14" customFormat="1" ht="13.5">
      <c r="C21" s="14" t="str">
        <f>+Input!$E$48</f>
        <v>Machinery and Equipment</v>
      </c>
      <c r="I21" s="14">
        <f>+Input!$I48</f>
        <v>0</v>
      </c>
      <c r="J21" s="14">
        <f>+Input!$K48</f>
        <v>0</v>
      </c>
      <c r="K21" s="14">
        <f>+Input!$M48</f>
        <v>0</v>
      </c>
      <c r="L21" s="16">
        <f>+Input!$O48</f>
        <v>0</v>
      </c>
      <c r="M21" s="16">
        <f>+Input!O116</f>
        <v>0</v>
      </c>
      <c r="N21" s="16">
        <f>+Input!P116</f>
        <v>0</v>
      </c>
      <c r="O21" s="16">
        <f>+Input!Q116</f>
        <v>0</v>
      </c>
      <c r="P21" s="16">
        <f>+Input!R116</f>
        <v>0</v>
      </c>
      <c r="Q21" s="16">
        <f>+Input!S116</f>
        <v>0</v>
      </c>
      <c r="S21" s="1"/>
      <c r="T21" s="1"/>
      <c r="U21" s="1"/>
      <c r="V21" s="1"/>
      <c r="W21" s="1"/>
      <c r="X21" s="1"/>
      <c r="Y21" s="1"/>
      <c r="Z21" s="1"/>
      <c r="AA21" s="1"/>
      <c r="AB21" s="1"/>
      <c r="AC21" s="1"/>
      <c r="AD21" s="1"/>
      <c r="AE21" s="1"/>
      <c r="AF21" s="1"/>
      <c r="AG21" s="1"/>
      <c r="AH21" s="1"/>
      <c r="AI21" s="1"/>
      <c r="AJ21" s="1"/>
      <c r="AK21" s="1"/>
      <c r="AL21" s="1"/>
      <c r="AM21" s="1"/>
      <c r="AN21" s="1"/>
      <c r="AO21" s="1"/>
      <c r="AP21" s="1"/>
      <c r="AQ21" s="1"/>
    </row>
    <row r="22" spans="3:43" s="14" customFormat="1" ht="13.5">
      <c r="C22" s="14" t="str">
        <f>Input!$E$49</f>
        <v>Building  and Plant</v>
      </c>
      <c r="I22" s="14">
        <f>+Input!$I49</f>
        <v>0</v>
      </c>
      <c r="J22" s="14">
        <f>+Input!$K49</f>
        <v>0</v>
      </c>
      <c r="K22" s="14">
        <f>+Input!$M49</f>
        <v>0</v>
      </c>
      <c r="L22" s="16">
        <f>+Input!$O49</f>
        <v>61962</v>
      </c>
      <c r="M22" s="16">
        <f>L22+Input!O117</f>
        <v>61962</v>
      </c>
      <c r="N22" s="16">
        <f>M22+Input!P117</f>
        <v>61962</v>
      </c>
      <c r="O22" s="16">
        <f>N22+Input!Q117</f>
        <v>61962</v>
      </c>
      <c r="P22" s="16">
        <f>O22+Input!R117</f>
        <v>61962</v>
      </c>
      <c r="Q22" s="16">
        <f>P22+Input!S117</f>
        <v>61962</v>
      </c>
      <c r="R22" s="16"/>
      <c r="S22" s="1"/>
      <c r="T22" s="1"/>
      <c r="U22" s="1"/>
      <c r="V22" s="1"/>
      <c r="W22" s="1"/>
      <c r="X22" s="1"/>
      <c r="Y22" s="1"/>
      <c r="Z22" s="1"/>
      <c r="AA22" s="1"/>
      <c r="AB22" s="1"/>
      <c r="AC22" s="1"/>
      <c r="AD22" s="1"/>
      <c r="AE22" s="1"/>
      <c r="AF22" s="1"/>
      <c r="AG22" s="1"/>
      <c r="AH22" s="1"/>
      <c r="AI22" s="1"/>
      <c r="AJ22" s="1"/>
      <c r="AK22" s="1"/>
      <c r="AL22" s="1"/>
      <c r="AM22" s="1"/>
      <c r="AN22" s="1"/>
      <c r="AO22" s="1"/>
      <c r="AP22" s="1"/>
      <c r="AQ22" s="1"/>
    </row>
    <row r="23" spans="3:43" s="14" customFormat="1" ht="13.5">
      <c r="C23" s="14" t="s">
        <v>112</v>
      </c>
      <c r="E23" s="14" t="str">
        <f>+Input!$E$50</f>
        <v>Accumulated Depreciation</v>
      </c>
      <c r="I23" s="23">
        <f>+Input!$I50</f>
        <v>0</v>
      </c>
      <c r="J23" s="23">
        <f>+Input!$K50</f>
        <v>0</v>
      </c>
      <c r="K23" s="23">
        <f>+Input!$M50</f>
        <v>0</v>
      </c>
      <c r="L23" s="23">
        <f>+Input!$O50</f>
        <v>0</v>
      </c>
      <c r="M23" s="23">
        <f>+L23-M102</f>
        <v>-4878.897637795276</v>
      </c>
      <c r="N23" s="23">
        <f>+M23-N102</f>
        <v>-9757.795275590552</v>
      </c>
      <c r="O23" s="23">
        <f>+N23-O102</f>
        <v>-14636.692913385828</v>
      </c>
      <c r="P23" s="23">
        <f>+O23-P102</f>
        <v>-19515.590551181103</v>
      </c>
      <c r="Q23" s="23">
        <f>+P23-Q102</f>
        <v>-24394.48818897638</v>
      </c>
      <c r="R23" s="16"/>
      <c r="S23" s="1"/>
      <c r="T23" s="1"/>
      <c r="U23" s="1"/>
      <c r="V23" s="1"/>
      <c r="W23" s="1"/>
      <c r="X23" s="1"/>
      <c r="Y23" s="1"/>
      <c r="Z23" s="1"/>
      <c r="AA23" s="1"/>
      <c r="AB23" s="1"/>
      <c r="AC23" s="1"/>
      <c r="AD23" s="1"/>
      <c r="AE23" s="1"/>
      <c r="AF23" s="1"/>
      <c r="AG23" s="1"/>
      <c r="AH23" s="1"/>
      <c r="AI23" s="1"/>
      <c r="AJ23" s="1"/>
      <c r="AK23" s="1"/>
      <c r="AL23" s="1"/>
      <c r="AM23" s="1"/>
      <c r="AN23" s="1"/>
      <c r="AO23" s="1"/>
      <c r="AP23" s="1"/>
      <c r="AQ23" s="1"/>
    </row>
    <row r="24" spans="4:43" s="14" customFormat="1" ht="13.5">
      <c r="D24" s="14" t="s">
        <v>144</v>
      </c>
      <c r="I24" s="58">
        <f>SUM(I21:I23)</f>
        <v>0</v>
      </c>
      <c r="J24" s="58">
        <f>SUM(J21:J23)</f>
        <v>0</v>
      </c>
      <c r="K24" s="58">
        <f>SUM(K21:K23)</f>
        <v>0</v>
      </c>
      <c r="L24" s="58">
        <f aca="true" t="shared" si="1" ref="L24:Q24">SUM(L21:L23)</f>
        <v>61962</v>
      </c>
      <c r="M24" s="16">
        <f t="shared" si="1"/>
        <v>57083.10236220472</v>
      </c>
      <c r="N24" s="14">
        <f t="shared" si="1"/>
        <v>52204.20472440945</v>
      </c>
      <c r="O24" s="14">
        <f t="shared" si="1"/>
        <v>47325.30708661417</v>
      </c>
      <c r="P24" s="14">
        <f t="shared" si="1"/>
        <v>42446.4094488189</v>
      </c>
      <c r="Q24" s="14">
        <f t="shared" si="1"/>
        <v>37567.51181102362</v>
      </c>
      <c r="S24" s="1"/>
      <c r="T24" s="1"/>
      <c r="U24" s="1"/>
      <c r="V24" s="1"/>
      <c r="W24" s="1"/>
      <c r="X24" s="1"/>
      <c r="Y24" s="1"/>
      <c r="Z24" s="1"/>
      <c r="AA24" s="1"/>
      <c r="AB24" s="1"/>
      <c r="AC24" s="1"/>
      <c r="AD24" s="1"/>
      <c r="AE24" s="1"/>
      <c r="AF24" s="1"/>
      <c r="AG24" s="1"/>
      <c r="AH24" s="1"/>
      <c r="AI24" s="1"/>
      <c r="AJ24" s="1"/>
      <c r="AK24" s="1"/>
      <c r="AL24" s="1"/>
      <c r="AM24" s="1"/>
      <c r="AN24" s="1"/>
      <c r="AO24" s="1"/>
      <c r="AP24" s="1"/>
      <c r="AQ24" s="1"/>
    </row>
    <row r="25" spans="12:43" s="14" customFormat="1" ht="13.5">
      <c r="L25" s="16"/>
      <c r="M25" s="16"/>
      <c r="S25" s="1"/>
      <c r="T25" s="1"/>
      <c r="U25" s="1"/>
      <c r="V25" s="1"/>
      <c r="W25" s="1"/>
      <c r="X25" s="1"/>
      <c r="Y25" s="1"/>
      <c r="Z25" s="1"/>
      <c r="AA25" s="1"/>
      <c r="AB25" s="1"/>
      <c r="AC25" s="1"/>
      <c r="AD25" s="1"/>
      <c r="AE25" s="1"/>
      <c r="AF25" s="1"/>
      <c r="AG25" s="1"/>
      <c r="AH25" s="1"/>
      <c r="AI25" s="1"/>
      <c r="AJ25" s="1"/>
      <c r="AK25" s="1"/>
      <c r="AL25" s="1"/>
      <c r="AM25" s="1"/>
      <c r="AN25" s="1"/>
      <c r="AO25" s="1"/>
      <c r="AP25" s="1"/>
      <c r="AQ25" s="1"/>
    </row>
    <row r="26" spans="3:43" s="14" customFormat="1" ht="13.5">
      <c r="C26" s="14" t="s">
        <v>39</v>
      </c>
      <c r="I26" s="16">
        <f>+Input!$I51</f>
        <v>0</v>
      </c>
      <c r="J26" s="16">
        <f>+Input!$K51</f>
        <v>0</v>
      </c>
      <c r="K26" s="16">
        <f>+Input!$M51</f>
        <v>0</v>
      </c>
      <c r="L26" s="16">
        <f>Input!O51</f>
        <v>0</v>
      </c>
      <c r="M26" s="16">
        <f>MAX(Calculations!O46,0)</f>
        <v>0</v>
      </c>
      <c r="N26" s="16">
        <f>MAX(Calculations!P46,0)</f>
        <v>0</v>
      </c>
      <c r="O26" s="16">
        <f>MAX(Calculations!Q46,0)</f>
        <v>0</v>
      </c>
      <c r="P26" s="16">
        <f>MAX(Calculations!R46,0)</f>
        <v>0</v>
      </c>
      <c r="Q26" s="16">
        <f>MAX(Calculations!S46,0)</f>
        <v>0</v>
      </c>
      <c r="R26" s="16"/>
      <c r="S26" s="1"/>
      <c r="T26" s="1"/>
      <c r="U26" s="1"/>
      <c r="V26" s="1"/>
      <c r="W26" s="1"/>
      <c r="X26" s="1"/>
      <c r="Y26" s="1"/>
      <c r="Z26" s="1"/>
      <c r="AA26" s="1"/>
      <c r="AB26" s="1"/>
      <c r="AC26" s="1"/>
      <c r="AD26" s="1"/>
      <c r="AE26" s="1"/>
      <c r="AF26" s="1"/>
      <c r="AG26" s="1"/>
      <c r="AH26" s="1"/>
      <c r="AI26" s="1"/>
      <c r="AJ26" s="1"/>
      <c r="AK26" s="1"/>
      <c r="AL26" s="1"/>
      <c r="AM26" s="1"/>
      <c r="AN26" s="1"/>
      <c r="AO26" s="1"/>
      <c r="AP26" s="1"/>
      <c r="AQ26" s="1"/>
    </row>
    <row r="27" spans="3:43" s="14" customFormat="1" ht="13.5">
      <c r="C27" s="14" t="str">
        <f>+Input!$E$52</f>
        <v>Other Noncurrent Assets </v>
      </c>
      <c r="I27" s="16">
        <f>+Input!$I52</f>
        <v>0</v>
      </c>
      <c r="J27" s="16">
        <f>+Input!$K52</f>
        <v>0</v>
      </c>
      <c r="K27" s="16">
        <f>+Input!$M52</f>
        <v>0</v>
      </c>
      <c r="L27" s="16">
        <f>+Input!$O52</f>
        <v>2534</v>
      </c>
      <c r="M27" s="16">
        <f>(L27*(1+Input!O118))*(1+Input!O90)</f>
        <v>2660.7000000000003</v>
      </c>
      <c r="N27" s="16">
        <f>(M27*(1+Input!P118))*(1+Input!P90)</f>
        <v>2793.7350000000006</v>
      </c>
      <c r="O27" s="16">
        <f>(N27*(1+Input!Q118))*(1+Input!Q90)</f>
        <v>2933.421750000001</v>
      </c>
      <c r="P27" s="16">
        <f>(O27*(1+Input!R118))*(1+Input!R90)</f>
        <v>3080.092837500001</v>
      </c>
      <c r="Q27" s="16">
        <f>(P27*(1+Input!S118))*(1+Input!S90)</f>
        <v>3234.0974793750015</v>
      </c>
      <c r="S27" s="1"/>
      <c r="T27" s="1"/>
      <c r="U27" s="1"/>
      <c r="V27" s="1"/>
      <c r="W27" s="1"/>
      <c r="X27" s="1"/>
      <c r="Y27" s="1"/>
      <c r="Z27" s="1"/>
      <c r="AA27" s="1"/>
      <c r="AB27" s="1"/>
      <c r="AC27" s="1"/>
      <c r="AD27" s="1"/>
      <c r="AE27" s="1"/>
      <c r="AF27" s="1"/>
      <c r="AG27" s="1"/>
      <c r="AH27" s="1"/>
      <c r="AI27" s="1"/>
      <c r="AJ27" s="1"/>
      <c r="AK27" s="1"/>
      <c r="AL27" s="1"/>
      <c r="AM27" s="1"/>
      <c r="AN27" s="1"/>
      <c r="AO27" s="1"/>
      <c r="AP27" s="1"/>
      <c r="AQ27" s="1"/>
    </row>
    <row r="28" spans="12:43" s="14" customFormat="1" ht="13.5">
      <c r="L28" s="16"/>
      <c r="M28" s="16"/>
      <c r="S28" s="1"/>
      <c r="T28" s="1"/>
      <c r="U28" s="1"/>
      <c r="V28" s="1"/>
      <c r="W28" s="1"/>
      <c r="X28" s="1"/>
      <c r="Y28" s="1"/>
      <c r="Z28" s="1"/>
      <c r="AA28" s="1"/>
      <c r="AB28" s="1"/>
      <c r="AC28" s="1"/>
      <c r="AD28" s="1"/>
      <c r="AE28" s="1"/>
      <c r="AF28" s="1"/>
      <c r="AG28" s="1"/>
      <c r="AH28" s="1"/>
      <c r="AI28" s="1"/>
      <c r="AJ28" s="1"/>
      <c r="AK28" s="1"/>
      <c r="AL28" s="1"/>
      <c r="AM28" s="1"/>
      <c r="AN28" s="1"/>
      <c r="AO28" s="1"/>
      <c r="AP28" s="1"/>
      <c r="AQ28" s="1"/>
    </row>
    <row r="29" spans="3:43" s="14" customFormat="1" ht="13.5">
      <c r="C29" s="14" t="s">
        <v>41</v>
      </c>
      <c r="L29" s="16"/>
      <c r="M29" s="16"/>
      <c r="S29" s="1"/>
      <c r="T29" s="1"/>
      <c r="U29" s="1"/>
      <c r="V29" s="1"/>
      <c r="W29" s="1"/>
      <c r="X29" s="1"/>
      <c r="Y29" s="1"/>
      <c r="Z29" s="1"/>
      <c r="AA29" s="1"/>
      <c r="AB29" s="1"/>
      <c r="AC29" s="1"/>
      <c r="AD29" s="1"/>
      <c r="AE29" s="1"/>
      <c r="AF29" s="1"/>
      <c r="AG29" s="1"/>
      <c r="AH29" s="1"/>
      <c r="AI29" s="1"/>
      <c r="AJ29" s="1"/>
      <c r="AK29" s="1"/>
      <c r="AL29" s="1"/>
      <c r="AM29" s="1"/>
      <c r="AN29" s="1"/>
      <c r="AO29" s="1"/>
      <c r="AP29" s="1"/>
      <c r="AQ29" s="1"/>
    </row>
    <row r="30" spans="4:43" s="14" customFormat="1" ht="13.5">
      <c r="D30" s="14" t="str">
        <f>+Input!$E55</f>
        <v>Deferred Fin./ License/Startup</v>
      </c>
      <c r="I30" s="14">
        <f>+Input!$I55</f>
        <v>0</v>
      </c>
      <c r="J30" s="14">
        <f>+Input!$K55</f>
        <v>0</v>
      </c>
      <c r="K30" s="14">
        <f>+Input!$M55</f>
        <v>0</v>
      </c>
      <c r="L30" s="16">
        <f>+Input!$O55</f>
        <v>0</v>
      </c>
      <c r="M30" s="16">
        <f>+Calculations!O$61</f>
        <v>0</v>
      </c>
      <c r="N30" s="16">
        <f>+Calculations!P$61</f>
        <v>0</v>
      </c>
      <c r="O30" s="16">
        <f>+Calculations!Q$61</f>
        <v>0</v>
      </c>
      <c r="P30" s="16">
        <f>+Calculations!R$61</f>
        <v>0</v>
      </c>
      <c r="Q30" s="16">
        <f>+Calculations!S$61</f>
        <v>0</v>
      </c>
      <c r="S30" s="1"/>
      <c r="T30" s="1"/>
      <c r="U30" s="1"/>
      <c r="V30" s="1"/>
      <c r="W30" s="1"/>
      <c r="X30" s="1"/>
      <c r="Y30" s="1"/>
      <c r="Z30" s="1"/>
      <c r="AA30" s="1"/>
      <c r="AB30" s="1"/>
      <c r="AC30" s="1"/>
      <c r="AD30" s="1"/>
      <c r="AE30" s="1"/>
      <c r="AF30" s="1"/>
      <c r="AG30" s="1"/>
      <c r="AH30" s="1"/>
      <c r="AI30" s="1"/>
      <c r="AJ30" s="1"/>
      <c r="AK30" s="1"/>
      <c r="AL30" s="1"/>
      <c r="AM30" s="1"/>
      <c r="AN30" s="1"/>
      <c r="AO30" s="1"/>
      <c r="AP30" s="1"/>
      <c r="AQ30" s="1"/>
    </row>
    <row r="31" spans="4:43" s="14" customFormat="1" ht="13.5">
      <c r="D31" s="14" t="str">
        <f>+Input!$E56</f>
        <v>Goodwill</v>
      </c>
      <c r="I31" s="14">
        <f>+Input!$I56</f>
        <v>0</v>
      </c>
      <c r="J31" s="14">
        <f>+Input!$K56</f>
        <v>0</v>
      </c>
      <c r="K31" s="14">
        <f>+Input!$M56</f>
        <v>0</v>
      </c>
      <c r="L31" s="16">
        <f>+Input!$O56</f>
        <v>0</v>
      </c>
      <c r="M31" s="16">
        <f>+Calculations!O$66</f>
        <v>0</v>
      </c>
      <c r="N31" s="16">
        <f>+Calculations!P$66</f>
        <v>0</v>
      </c>
      <c r="O31" s="14">
        <f>+Calculations!Q$66</f>
        <v>0</v>
      </c>
      <c r="P31" s="14">
        <f>+Calculations!R$66</f>
        <v>0</v>
      </c>
      <c r="Q31" s="14">
        <f>+Calculations!S$66</f>
        <v>0</v>
      </c>
      <c r="S31" s="1"/>
      <c r="T31" s="1"/>
      <c r="U31" s="1"/>
      <c r="V31" s="1"/>
      <c r="W31" s="1"/>
      <c r="X31" s="1"/>
      <c r="Y31" s="1"/>
      <c r="Z31" s="1"/>
      <c r="AA31" s="1"/>
      <c r="AB31" s="1"/>
      <c r="AC31" s="1"/>
      <c r="AD31" s="1"/>
      <c r="AE31" s="1"/>
      <c r="AF31" s="1"/>
      <c r="AG31" s="1"/>
      <c r="AH31" s="1"/>
      <c r="AI31" s="1"/>
      <c r="AJ31" s="1"/>
      <c r="AK31" s="1"/>
      <c r="AL31" s="1"/>
      <c r="AM31" s="1"/>
      <c r="AN31" s="1"/>
      <c r="AO31" s="1"/>
      <c r="AP31" s="1"/>
      <c r="AQ31" s="1"/>
    </row>
    <row r="32" spans="4:43" s="152" customFormat="1" ht="13.5">
      <c r="D32" s="152" t="str">
        <f>Input!C7</f>
        <v>Project Costs-Capitalized</v>
      </c>
      <c r="M32" s="63">
        <f>Input!L7</f>
        <v>5</v>
      </c>
      <c r="N32" s="63">
        <f>Input!M7+M32</f>
        <v>5</v>
      </c>
      <c r="O32" s="63">
        <f>Input!N7+N32</f>
        <v>5</v>
      </c>
      <c r="P32" s="63">
        <f>Input!O7+O32</f>
        <v>5</v>
      </c>
      <c r="Q32" s="63">
        <f>Input!P7+P32</f>
        <v>5</v>
      </c>
      <c r="R32" s="63">
        <f>Input!Q7+Q32</f>
        <v>5</v>
      </c>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row>
    <row r="33" spans="4:43" s="152" customFormat="1" ht="13.5">
      <c r="D33" s="152" t="str">
        <f>Input!C11</f>
        <v>Project Fees</v>
      </c>
      <c r="H33" s="14"/>
      <c r="I33" s="14"/>
      <c r="J33" s="14"/>
      <c r="K33" s="14"/>
      <c r="M33" s="63">
        <f>Input!L11</f>
        <v>0.5</v>
      </c>
      <c r="N33" s="63">
        <f>Input!M11+M33</f>
        <v>1</v>
      </c>
      <c r="O33" s="63">
        <f>Input!N11+N33</f>
        <v>1.5</v>
      </c>
      <c r="P33" s="63">
        <f>Input!O11+O33</f>
        <v>2</v>
      </c>
      <c r="Q33" s="63">
        <f>Input!P11+P33</f>
        <v>2.5</v>
      </c>
      <c r="R33" s="63">
        <f>Input!Q11+Q33</f>
        <v>2.5</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row>
    <row r="34" spans="4:43" s="14" customFormat="1" ht="13.5">
      <c r="D34" s="14" t="str">
        <f>Input!E57</f>
        <v>Other Intangibles</v>
      </c>
      <c r="I34" s="16">
        <f>+Input!$I57</f>
        <v>0</v>
      </c>
      <c r="J34" s="16">
        <f>+Input!$K57</f>
        <v>0</v>
      </c>
      <c r="K34" s="16">
        <f>+Input!$M57</f>
        <v>0</v>
      </c>
      <c r="L34" s="16">
        <f>+Input!$O57</f>
        <v>0</v>
      </c>
      <c r="M34" s="16">
        <f>Calculations!O92</f>
        <v>0</v>
      </c>
      <c r="N34" s="14">
        <f>Calculations!P92</f>
        <v>0</v>
      </c>
      <c r="O34" s="14">
        <f>Calculations!Q92</f>
        <v>0</v>
      </c>
      <c r="P34" s="14">
        <f>Calculations!R92</f>
        <v>0</v>
      </c>
      <c r="Q34" s="14">
        <f>Calculations!S92</f>
        <v>0</v>
      </c>
      <c r="S34" s="1"/>
      <c r="T34" s="1"/>
      <c r="U34" s="1"/>
      <c r="V34" s="1"/>
      <c r="W34" s="1"/>
      <c r="X34" s="1"/>
      <c r="Y34" s="1"/>
      <c r="Z34" s="1"/>
      <c r="AA34" s="1"/>
      <c r="AB34" s="1"/>
      <c r="AC34" s="1"/>
      <c r="AD34" s="1"/>
      <c r="AE34" s="1"/>
      <c r="AF34" s="1"/>
      <c r="AG34" s="1"/>
      <c r="AH34" s="1"/>
      <c r="AI34" s="1"/>
      <c r="AJ34" s="1"/>
      <c r="AK34" s="1"/>
      <c r="AL34" s="1"/>
      <c r="AM34" s="1"/>
      <c r="AN34" s="1"/>
      <c r="AO34" s="1"/>
      <c r="AP34" s="1"/>
      <c r="AQ34" s="1"/>
    </row>
    <row r="35" spans="4:43" s="14" customFormat="1" ht="13.5">
      <c r="D35" s="14" t="s">
        <v>145</v>
      </c>
      <c r="F35" s="14" t="str">
        <f>Input!E58</f>
        <v>Accumulated Amortization</v>
      </c>
      <c r="I35" s="23"/>
      <c r="J35" s="23"/>
      <c r="K35" s="23"/>
      <c r="L35" s="23"/>
      <c r="M35" s="23">
        <f>-(Calculations!O94)</f>
        <v>-0.275</v>
      </c>
      <c r="N35" s="23">
        <f>M35-(Calculations!P94)</f>
        <v>-0.8500000000000001</v>
      </c>
      <c r="O35" s="23">
        <f>N35-(Calculations!Q94)</f>
        <v>-1.475</v>
      </c>
      <c r="P35" s="23">
        <f>O35-(Calculations!R94)</f>
        <v>-2.1</v>
      </c>
      <c r="Q35" s="23">
        <f>P35-(Calculations!S94)</f>
        <v>-2.825</v>
      </c>
      <c r="R35" s="16"/>
      <c r="S35" s="1"/>
      <c r="T35" s="1"/>
      <c r="U35" s="1"/>
      <c r="V35" s="1"/>
      <c r="W35" s="1"/>
      <c r="X35" s="1"/>
      <c r="Y35" s="1"/>
      <c r="Z35" s="1"/>
      <c r="AA35" s="1"/>
      <c r="AB35" s="1"/>
      <c r="AC35" s="1"/>
      <c r="AD35" s="1"/>
      <c r="AE35" s="1"/>
      <c r="AF35" s="1"/>
      <c r="AG35" s="1"/>
      <c r="AH35" s="1"/>
      <c r="AI35" s="1"/>
      <c r="AJ35" s="1"/>
      <c r="AK35" s="1"/>
      <c r="AL35" s="1"/>
      <c r="AM35" s="1"/>
      <c r="AN35" s="1"/>
      <c r="AO35" s="1"/>
      <c r="AP35" s="1"/>
      <c r="AQ35" s="1"/>
    </row>
    <row r="36" spans="5:43" s="14" customFormat="1" ht="13.5">
      <c r="E36" s="14" t="s">
        <v>146</v>
      </c>
      <c r="I36" s="58">
        <f>SUM(I30:I34)</f>
        <v>0</v>
      </c>
      <c r="J36" s="58">
        <f>SUM(J30:J34)</f>
        <v>0</v>
      </c>
      <c r="K36" s="58">
        <f>SUM(K30:K34)</f>
        <v>0</v>
      </c>
      <c r="L36" s="58">
        <f>SUM(L30:L34)</f>
        <v>0</v>
      </c>
      <c r="M36" s="14">
        <f>SUM(M30:M35)</f>
        <v>5.225</v>
      </c>
      <c r="N36" s="14">
        <f>SUM(N30:N35)</f>
        <v>5.15</v>
      </c>
      <c r="O36" s="14">
        <f>SUM(O30:O35)</f>
        <v>5.025</v>
      </c>
      <c r="P36" s="14">
        <f>SUM(P30:P35)</f>
        <v>4.9</v>
      </c>
      <c r="Q36" s="14">
        <f>SUM(Q30:Q35)</f>
        <v>4.675</v>
      </c>
      <c r="S36" s="1"/>
      <c r="T36" s="1"/>
      <c r="U36" s="1"/>
      <c r="V36" s="1"/>
      <c r="W36" s="1"/>
      <c r="X36" s="1"/>
      <c r="Y36" s="1"/>
      <c r="Z36" s="1"/>
      <c r="AA36" s="1"/>
      <c r="AB36" s="1"/>
      <c r="AC36" s="1"/>
      <c r="AD36" s="1"/>
      <c r="AE36" s="1"/>
      <c r="AF36" s="1"/>
      <c r="AG36" s="1"/>
      <c r="AH36" s="1"/>
      <c r="AI36" s="1"/>
      <c r="AJ36" s="1"/>
      <c r="AK36" s="1"/>
      <c r="AL36" s="1"/>
      <c r="AM36" s="1"/>
      <c r="AN36" s="1"/>
      <c r="AO36" s="1"/>
      <c r="AP36" s="1"/>
      <c r="AQ36" s="1"/>
    </row>
    <row r="37" spans="12:43" s="14" customFormat="1" ht="13.5">
      <c r="L37" s="16"/>
      <c r="M37" s="16"/>
      <c r="S37" s="1"/>
      <c r="T37" s="1"/>
      <c r="U37" s="1"/>
      <c r="V37" s="1"/>
      <c r="W37" s="1"/>
      <c r="X37" s="1"/>
      <c r="Y37" s="1"/>
      <c r="Z37" s="1"/>
      <c r="AA37" s="1"/>
      <c r="AB37" s="1"/>
      <c r="AC37" s="1"/>
      <c r="AD37" s="1"/>
      <c r="AE37" s="1"/>
      <c r="AF37" s="1"/>
      <c r="AG37" s="1"/>
      <c r="AH37" s="1"/>
      <c r="AI37" s="1"/>
      <c r="AJ37" s="1"/>
      <c r="AK37" s="1"/>
      <c r="AL37" s="1"/>
      <c r="AM37" s="1"/>
      <c r="AN37" s="1"/>
      <c r="AO37" s="1"/>
      <c r="AP37" s="1"/>
      <c r="AQ37" s="1"/>
    </row>
    <row r="38" spans="4:43" s="14" customFormat="1" ht="13.5">
      <c r="D38" s="14" t="s">
        <v>147</v>
      </c>
      <c r="I38" s="16">
        <f>SUM(I24:I27)+I36</f>
        <v>0</v>
      </c>
      <c r="J38" s="16">
        <f>SUM(J24:J27)+J36</f>
        <v>0</v>
      </c>
      <c r="K38" s="16">
        <f>SUM(K24:K27)+K36</f>
        <v>0</v>
      </c>
      <c r="L38" s="16">
        <f aca="true" t="shared" si="2" ref="L38:Q38">SUM(L24:L27)+L36</f>
        <v>64496</v>
      </c>
      <c r="M38" s="16">
        <f t="shared" si="2"/>
        <v>59749.02736220472</v>
      </c>
      <c r="N38" s="14">
        <f t="shared" si="2"/>
        <v>55003.08972440945</v>
      </c>
      <c r="O38" s="14">
        <f t="shared" si="2"/>
        <v>50263.753836614174</v>
      </c>
      <c r="P38" s="14">
        <f t="shared" si="2"/>
        <v>45531.4022863189</v>
      </c>
      <c r="Q38" s="14">
        <f t="shared" si="2"/>
        <v>40806.284290398624</v>
      </c>
      <c r="S38" s="1"/>
      <c r="T38" s="1"/>
      <c r="U38" s="1"/>
      <c r="V38" s="1"/>
      <c r="W38" s="1"/>
      <c r="X38" s="1"/>
      <c r="Y38" s="1"/>
      <c r="Z38" s="1"/>
      <c r="AA38" s="1"/>
      <c r="AB38" s="1"/>
      <c r="AC38" s="1"/>
      <c r="AD38" s="1"/>
      <c r="AE38" s="1"/>
      <c r="AF38" s="1"/>
      <c r="AG38" s="1"/>
      <c r="AH38" s="1"/>
      <c r="AI38" s="1"/>
      <c r="AJ38" s="1"/>
      <c r="AK38" s="1"/>
      <c r="AL38" s="1"/>
      <c r="AM38" s="1"/>
      <c r="AN38" s="1"/>
      <c r="AO38" s="1"/>
      <c r="AP38" s="1"/>
      <c r="AQ38" s="1"/>
    </row>
    <row r="39" spans="9:43" s="14" customFormat="1" ht="13.5">
      <c r="I39" s="23"/>
      <c r="J39" s="23"/>
      <c r="K39" s="23"/>
      <c r="L39" s="23"/>
      <c r="M39" s="16"/>
      <c r="S39" s="1"/>
      <c r="T39" s="1"/>
      <c r="U39" s="1"/>
      <c r="V39" s="1"/>
      <c r="W39" s="1"/>
      <c r="X39" s="1"/>
      <c r="Y39" s="1"/>
      <c r="Z39" s="1"/>
      <c r="AA39" s="1"/>
      <c r="AB39" s="1"/>
      <c r="AC39" s="1"/>
      <c r="AD39" s="1"/>
      <c r="AE39" s="1"/>
      <c r="AF39" s="1"/>
      <c r="AG39" s="1"/>
      <c r="AH39" s="1"/>
      <c r="AI39" s="1"/>
      <c r="AJ39" s="1"/>
      <c r="AK39" s="1"/>
      <c r="AL39" s="1"/>
      <c r="AM39" s="1"/>
      <c r="AN39" s="1"/>
      <c r="AO39" s="1"/>
      <c r="AP39" s="1"/>
      <c r="AQ39" s="1"/>
    </row>
    <row r="40" spans="2:43" s="14" customFormat="1" ht="14.25" thickBot="1">
      <c r="B40" s="14" t="s">
        <v>148</v>
      </c>
      <c r="I40" s="61">
        <f>+I38+I18</f>
        <v>0</v>
      </c>
      <c r="J40" s="61">
        <f>+J38+J18</f>
        <v>0</v>
      </c>
      <c r="K40" s="61">
        <f>+K38+K18</f>
        <v>0</v>
      </c>
      <c r="L40" s="61">
        <f aca="true" t="shared" si="3" ref="L40:Q40">+L38+L18</f>
        <v>84145</v>
      </c>
      <c r="M40" s="61">
        <f t="shared" si="3"/>
        <v>90126.98310155512</v>
      </c>
      <c r="N40" s="61">
        <f t="shared" si="3"/>
        <v>96502.62844561023</v>
      </c>
      <c r="O40" s="61">
        <f t="shared" si="3"/>
        <v>103291.65605879035</v>
      </c>
      <c r="P40" s="61">
        <f t="shared" si="3"/>
        <v>110514.74236780172</v>
      </c>
      <c r="Q40" s="61">
        <f t="shared" si="3"/>
        <v>118193.57637743591</v>
      </c>
      <c r="S40" s="1"/>
      <c r="T40" s="1"/>
      <c r="U40" s="1"/>
      <c r="V40" s="1"/>
      <c r="W40" s="1"/>
      <c r="X40" s="1"/>
      <c r="Y40" s="1"/>
      <c r="Z40" s="1"/>
      <c r="AA40" s="1"/>
      <c r="AB40" s="1"/>
      <c r="AC40" s="1"/>
      <c r="AD40" s="1"/>
      <c r="AE40" s="1"/>
      <c r="AF40" s="1"/>
      <c r="AG40" s="1"/>
      <c r="AH40" s="1"/>
      <c r="AI40" s="1"/>
      <c r="AJ40" s="1"/>
      <c r="AK40" s="1"/>
      <c r="AL40" s="1"/>
      <c r="AM40" s="1"/>
      <c r="AN40" s="1"/>
      <c r="AO40" s="1"/>
      <c r="AP40" s="1"/>
      <c r="AQ40" s="1"/>
    </row>
    <row r="41" spans="19:43" s="14" customFormat="1" ht="13.5" customHeight="1" thickTop="1">
      <c r="S41" s="1"/>
      <c r="T41" s="1"/>
      <c r="U41" s="1"/>
      <c r="V41" s="1"/>
      <c r="W41" s="1"/>
      <c r="X41" s="1"/>
      <c r="Y41" s="1"/>
      <c r="Z41" s="1"/>
      <c r="AA41" s="1"/>
      <c r="AB41" s="1"/>
      <c r="AC41" s="1"/>
      <c r="AD41" s="1"/>
      <c r="AE41" s="1"/>
      <c r="AF41" s="1"/>
      <c r="AG41" s="1"/>
      <c r="AH41" s="1"/>
      <c r="AI41" s="1"/>
      <c r="AJ41" s="1"/>
      <c r="AK41" s="1"/>
      <c r="AL41" s="1"/>
      <c r="AM41" s="1"/>
      <c r="AN41" s="1"/>
      <c r="AO41" s="1"/>
      <c r="AP41" s="1"/>
      <c r="AQ41" s="1"/>
    </row>
    <row r="42" spans="1:43" s="14" customFormat="1" ht="15.75" customHeight="1" thickBot="1">
      <c r="A42" s="123" t="str">
        <f>+A7</f>
        <v>BALANCE SHEET (Million of Dollars)</v>
      </c>
      <c r="B42" s="15"/>
      <c r="C42" s="15"/>
      <c r="D42" s="15"/>
      <c r="E42" s="15"/>
      <c r="F42" s="15"/>
      <c r="G42" s="15"/>
      <c r="H42" s="15"/>
      <c r="I42" s="15"/>
      <c r="J42" s="15"/>
      <c r="K42" s="15"/>
      <c r="L42" s="15"/>
      <c r="M42" s="15"/>
      <c r="N42" s="15"/>
      <c r="O42" s="15"/>
      <c r="P42" s="15"/>
      <c r="Q42" s="15"/>
      <c r="R42" s="15"/>
      <c r="S42" s="1"/>
      <c r="T42" s="1"/>
      <c r="U42" s="1"/>
      <c r="V42" s="1"/>
      <c r="W42" s="1"/>
      <c r="X42" s="1"/>
      <c r="Y42" s="1"/>
      <c r="Z42" s="1"/>
      <c r="AA42" s="1"/>
      <c r="AB42" s="1"/>
      <c r="AC42" s="1"/>
      <c r="AD42" s="1"/>
      <c r="AE42" s="1"/>
      <c r="AF42" s="1"/>
      <c r="AG42" s="1"/>
      <c r="AH42" s="1"/>
      <c r="AI42" s="1"/>
      <c r="AJ42" s="1"/>
      <c r="AK42" s="1"/>
      <c r="AL42" s="1"/>
      <c r="AM42" s="1"/>
      <c r="AN42" s="1"/>
      <c r="AO42" s="1"/>
      <c r="AP42" s="1"/>
      <c r="AQ42" s="1"/>
    </row>
    <row r="43" spans="9:43" s="14" customFormat="1" ht="13.5">
      <c r="I43" s="103"/>
      <c r="J43" s="103"/>
      <c r="K43" s="103"/>
      <c r="S43" s="1"/>
      <c r="T43" s="1"/>
      <c r="U43" s="1"/>
      <c r="V43" s="1"/>
      <c r="W43" s="1"/>
      <c r="X43" s="1"/>
      <c r="Y43" s="1"/>
      <c r="Z43" s="1"/>
      <c r="AA43" s="1"/>
      <c r="AB43" s="1"/>
      <c r="AC43" s="1"/>
      <c r="AD43" s="1"/>
      <c r="AE43" s="1"/>
      <c r="AF43" s="1"/>
      <c r="AG43" s="1"/>
      <c r="AH43" s="1"/>
      <c r="AI43" s="1"/>
      <c r="AJ43" s="1"/>
      <c r="AK43" s="1"/>
      <c r="AL43" s="1"/>
      <c r="AM43" s="1"/>
      <c r="AN43" s="1"/>
      <c r="AO43" s="1"/>
      <c r="AP43" s="1"/>
      <c r="AQ43" s="1"/>
    </row>
    <row r="44" spans="9:43" s="14" customFormat="1" ht="15">
      <c r="I44" s="194"/>
      <c r="J44" s="194" t="str">
        <f>J9</f>
        <v>Pre-Implementation</v>
      </c>
      <c r="K44" s="194"/>
      <c r="L44" s="144"/>
      <c r="M44" s="143" t="str">
        <f>+M9</f>
        <v>Post-Implementation</v>
      </c>
      <c r="N44" s="105"/>
      <c r="O44" s="105"/>
      <c r="P44" s="105"/>
      <c r="Q44" s="105"/>
      <c r="S44" s="1"/>
      <c r="T44" s="1"/>
      <c r="U44" s="1"/>
      <c r="V44" s="1"/>
      <c r="W44" s="1"/>
      <c r="X44" s="1"/>
      <c r="Y44" s="1"/>
      <c r="Z44" s="1"/>
      <c r="AA44" s="1"/>
      <c r="AB44" s="1"/>
      <c r="AC44" s="1"/>
      <c r="AD44" s="1"/>
      <c r="AE44" s="1"/>
      <c r="AF44" s="1"/>
      <c r="AG44" s="1"/>
      <c r="AH44" s="1"/>
      <c r="AI44" s="1"/>
      <c r="AJ44" s="1"/>
      <c r="AK44" s="1"/>
      <c r="AL44" s="1"/>
      <c r="AM44" s="1"/>
      <c r="AN44" s="1"/>
      <c r="AO44" s="1"/>
      <c r="AP44" s="1"/>
      <c r="AQ44" s="1"/>
    </row>
    <row r="45" spans="1:43" s="199" customFormat="1" ht="15.75" thickBot="1">
      <c r="A45" s="198" t="s">
        <v>149</v>
      </c>
      <c r="H45" s="14"/>
      <c r="I45" s="142">
        <f>I10</f>
        <v>33784.25</v>
      </c>
      <c r="J45" s="142">
        <f>J10</f>
        <v>34149.5</v>
      </c>
      <c r="K45" s="142">
        <f>K10</f>
        <v>34514.75</v>
      </c>
      <c r="L45" s="142">
        <f>L10</f>
        <v>34880</v>
      </c>
      <c r="M45" s="142">
        <f>+M10</f>
        <v>35245.25</v>
      </c>
      <c r="N45" s="142">
        <f>+N10</f>
        <v>35610.5</v>
      </c>
      <c r="O45" s="142">
        <f>+O10</f>
        <v>35975.75</v>
      </c>
      <c r="P45" s="142">
        <f>+P10</f>
        <v>36341</v>
      </c>
      <c r="Q45" s="142">
        <f>+Q10</f>
        <v>36706.25</v>
      </c>
      <c r="S45" s="200"/>
      <c r="T45" s="200"/>
      <c r="U45" s="200"/>
      <c r="V45" s="200"/>
      <c r="W45" s="200"/>
      <c r="X45" s="200"/>
      <c r="Y45" s="200"/>
      <c r="Z45" s="200"/>
      <c r="AA45" s="200"/>
      <c r="AB45" s="200"/>
      <c r="AC45" s="200"/>
      <c r="AD45" s="200"/>
      <c r="AE45" s="200"/>
      <c r="AF45" s="200"/>
      <c r="AG45" s="200"/>
      <c r="AH45" s="200"/>
      <c r="AI45" s="200"/>
      <c r="AJ45" s="200"/>
      <c r="AK45" s="200"/>
      <c r="AL45" s="200"/>
      <c r="AM45" s="200"/>
      <c r="AN45" s="200"/>
      <c r="AO45" s="200"/>
      <c r="AP45" s="200"/>
      <c r="AQ45" s="200"/>
    </row>
    <row r="46" spans="2:43" s="14" customFormat="1" ht="13.5">
      <c r="B46" s="14" t="s">
        <v>46</v>
      </c>
      <c r="L46" s="146"/>
      <c r="M46" s="16"/>
      <c r="S46" s="1"/>
      <c r="T46" s="1"/>
      <c r="U46" s="1"/>
      <c r="V46" s="1"/>
      <c r="W46" s="1"/>
      <c r="X46" s="1"/>
      <c r="Y46" s="1"/>
      <c r="Z46" s="1"/>
      <c r="AA46" s="1"/>
      <c r="AB46" s="1"/>
      <c r="AC46" s="1"/>
      <c r="AD46" s="1"/>
      <c r="AE46" s="1"/>
      <c r="AF46" s="1"/>
      <c r="AG46" s="1"/>
      <c r="AH46" s="1"/>
      <c r="AI46" s="1"/>
      <c r="AJ46" s="1"/>
      <c r="AK46" s="1"/>
      <c r="AL46" s="1"/>
      <c r="AM46" s="1"/>
      <c r="AN46" s="1"/>
      <c r="AO46" s="1"/>
      <c r="AP46" s="1"/>
      <c r="AQ46" s="1"/>
    </row>
    <row r="47" spans="3:43" s="152" customFormat="1" ht="13.5">
      <c r="C47" s="152" t="str">
        <f>Input!$E$61</f>
        <v>Interest Payable</v>
      </c>
      <c r="H47" s="14"/>
      <c r="I47" s="152">
        <f>+Input!$I61</f>
        <v>0</v>
      </c>
      <c r="J47" s="152">
        <f>+Input!$K61</f>
        <v>0</v>
      </c>
      <c r="K47" s="152">
        <f>+Input!$M61</f>
        <v>0</v>
      </c>
      <c r="L47" s="63">
        <f>+Input!$O61</f>
        <v>0</v>
      </c>
      <c r="M47" s="63">
        <f>L47*(1+Input!O120)</f>
        <v>0</v>
      </c>
      <c r="N47" s="63">
        <f>M47*(1+Input!P120)</f>
        <v>0</v>
      </c>
      <c r="O47" s="63">
        <f>N47*(1+Input!Q120)</f>
        <v>0</v>
      </c>
      <c r="P47" s="63">
        <f>O47*(1+Input!R120)</f>
        <v>0</v>
      </c>
      <c r="Q47" s="63">
        <f>P47*(1+Input!S120)</f>
        <v>0</v>
      </c>
      <c r="R47" s="63">
        <f>((+R$86)/Input!$M$139)*Input!T120</f>
        <v>0</v>
      </c>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row>
    <row r="48" spans="3:43" s="14" customFormat="1" ht="13.5">
      <c r="C48" s="14" t="str">
        <f>Input!E62</f>
        <v>Accounts Payable</v>
      </c>
      <c r="I48" s="14">
        <f>+Input!$I62</f>
        <v>0</v>
      </c>
      <c r="J48" s="14">
        <f>+Input!$K62</f>
        <v>0</v>
      </c>
      <c r="K48" s="14">
        <f>+Input!$M62</f>
        <v>0</v>
      </c>
      <c r="L48" s="16">
        <f>+Input!$O62</f>
        <v>7677</v>
      </c>
      <c r="M48" s="16">
        <f>(L48*(1+Input!O121))*(1+Input!O90)</f>
        <v>8060.85</v>
      </c>
      <c r="N48" s="16">
        <f>(M48*(1+Input!P121))*(1+Input!P90)</f>
        <v>8463.8925</v>
      </c>
      <c r="O48" s="16">
        <f>(N48*(1+Input!Q121))*(1+Input!Q90)</f>
        <v>8887.087125</v>
      </c>
      <c r="P48" s="16">
        <f>(O48*(1+Input!R121))*(1+Input!R90)</f>
        <v>9331.44148125</v>
      </c>
      <c r="Q48" s="16">
        <f>(P48*(1+Input!S121))*(1+Input!S90)</f>
        <v>9798.0135553125</v>
      </c>
      <c r="S48" s="1"/>
      <c r="T48" s="1"/>
      <c r="U48" s="1"/>
      <c r="V48" s="1"/>
      <c r="W48" s="1"/>
      <c r="X48" s="1"/>
      <c r="Y48" s="1"/>
      <c r="Z48" s="1"/>
      <c r="AA48" s="1"/>
      <c r="AB48" s="1"/>
      <c r="AC48" s="1"/>
      <c r="AD48" s="1"/>
      <c r="AE48" s="1"/>
      <c r="AF48" s="1"/>
      <c r="AG48" s="1"/>
      <c r="AH48" s="1"/>
      <c r="AI48" s="1"/>
      <c r="AJ48" s="1"/>
      <c r="AK48" s="1"/>
      <c r="AL48" s="1"/>
      <c r="AM48" s="1"/>
      <c r="AN48" s="1"/>
      <c r="AO48" s="1"/>
      <c r="AP48" s="1"/>
      <c r="AQ48" s="1"/>
    </row>
    <row r="49" spans="3:43" s="14" customFormat="1" ht="13.5">
      <c r="C49" s="14" t="s">
        <v>150</v>
      </c>
      <c r="I49" s="14">
        <f>+Input!$I63</f>
        <v>0</v>
      </c>
      <c r="J49" s="14">
        <f>+Input!$K63</f>
        <v>0</v>
      </c>
      <c r="K49" s="14">
        <f>+Input!$M63</f>
        <v>0</v>
      </c>
      <c r="L49" s="16">
        <f>+Input!$O63</f>
        <v>4445</v>
      </c>
      <c r="M49" s="16">
        <f>L49*(1+Input!O122)</f>
        <v>4445</v>
      </c>
      <c r="N49" s="16">
        <f>M49</f>
        <v>4445</v>
      </c>
      <c r="O49" s="16">
        <f>N49</f>
        <v>4445</v>
      </c>
      <c r="P49" s="16">
        <f>O49</f>
        <v>4445</v>
      </c>
      <c r="Q49" s="16">
        <f>P49</f>
        <v>4445</v>
      </c>
      <c r="S49" s="1"/>
      <c r="T49" s="1"/>
      <c r="U49" s="1"/>
      <c r="V49" s="1"/>
      <c r="W49" s="1"/>
      <c r="X49" s="1"/>
      <c r="Y49" s="1"/>
      <c r="Z49" s="1"/>
      <c r="AA49" s="1"/>
      <c r="AB49" s="1"/>
      <c r="AC49" s="1"/>
      <c r="AD49" s="1"/>
      <c r="AE49" s="1"/>
      <c r="AF49" s="1"/>
      <c r="AG49" s="1"/>
      <c r="AH49" s="1"/>
      <c r="AI49" s="1"/>
      <c r="AJ49" s="1"/>
      <c r="AK49" s="1"/>
      <c r="AL49" s="1"/>
      <c r="AM49" s="1"/>
      <c r="AN49" s="1"/>
      <c r="AO49" s="1"/>
      <c r="AP49" s="1"/>
      <c r="AQ49" s="1"/>
    </row>
    <row r="50" spans="3:43" s="152" customFormat="1" ht="13.5">
      <c r="C50" s="152" t="str">
        <f>Input!E64</f>
        <v>Unearned Revenue</v>
      </c>
      <c r="I50" s="152">
        <f>+Input!$I64</f>
        <v>0</v>
      </c>
      <c r="J50" s="152">
        <f>+Input!$K64</f>
        <v>0</v>
      </c>
      <c r="K50" s="152">
        <f>+Input!$M64</f>
        <v>0</v>
      </c>
      <c r="L50" s="63">
        <f>+Input!$O64</f>
        <v>0</v>
      </c>
      <c r="M50" s="63">
        <f>L50*(1+Input!O123)</f>
        <v>0</v>
      </c>
      <c r="N50" s="63">
        <f>(M50*(1+Input!P123))*(1+Input!P90)</f>
        <v>0</v>
      </c>
      <c r="O50" s="63">
        <f>(N50*(1+Input!Q123))*(1+Input!Q90)</f>
        <v>0</v>
      </c>
      <c r="P50" s="63">
        <f>(O50*(1+Input!R123))*(1+Input!R90)</f>
        <v>0</v>
      </c>
      <c r="Q50" s="63">
        <f>(P50*(1+Input!S123))*(1+Input!S90)</f>
        <v>0</v>
      </c>
      <c r="S50" s="154"/>
      <c r="T50" s="154"/>
      <c r="U50" s="154"/>
      <c r="V50" s="154"/>
      <c r="W50" s="154"/>
      <c r="X50" s="154"/>
      <c r="Y50" s="154"/>
      <c r="Z50" s="154"/>
      <c r="AA50" s="154"/>
      <c r="AB50" s="154"/>
      <c r="AC50" s="154"/>
      <c r="AD50" s="154"/>
      <c r="AE50" s="154"/>
      <c r="AF50" s="154"/>
      <c r="AG50" s="154"/>
      <c r="AH50" s="154"/>
      <c r="AI50" s="154"/>
      <c r="AJ50" s="154"/>
      <c r="AK50" s="154"/>
      <c r="AL50" s="154"/>
      <c r="AM50" s="154"/>
      <c r="AN50" s="154"/>
      <c r="AO50" s="154"/>
      <c r="AP50" s="154"/>
      <c r="AQ50" s="154"/>
    </row>
    <row r="51" spans="3:43" s="152" customFormat="1" ht="13.5">
      <c r="C51" s="152" t="str">
        <f>Input!$E$65</f>
        <v>Notes Payable </v>
      </c>
      <c r="I51" s="152">
        <f>+Input!$I65</f>
        <v>0</v>
      </c>
      <c r="J51" s="152">
        <f>+Input!$K65</f>
        <v>0</v>
      </c>
      <c r="K51" s="152">
        <f>+Input!$M65</f>
        <v>0</v>
      </c>
      <c r="L51" s="63">
        <f>+Input!$O65</f>
        <v>4109</v>
      </c>
      <c r="M51" s="63">
        <f>L51*(1+Input!O124)</f>
        <v>4109</v>
      </c>
      <c r="N51" s="63">
        <f>M51*(1+Input!P124)</f>
        <v>4109</v>
      </c>
      <c r="O51" s="63">
        <f>N51*(1+Input!Q124)</f>
        <v>4109</v>
      </c>
      <c r="P51" s="63">
        <f>O51*(1+Input!R124)</f>
        <v>4109</v>
      </c>
      <c r="Q51" s="63">
        <f>P51*(1+Input!S124)</f>
        <v>4109</v>
      </c>
      <c r="R51" s="63" t="e">
        <f>Calculations!#REF!</f>
        <v>#REF!</v>
      </c>
      <c r="S51" s="154"/>
      <c r="T51" s="154"/>
      <c r="U51" s="154"/>
      <c r="V51" s="154"/>
      <c r="W51" s="154"/>
      <c r="X51" s="154"/>
      <c r="Y51" s="154"/>
      <c r="Z51" s="154"/>
      <c r="AA51" s="154"/>
      <c r="AB51" s="154"/>
      <c r="AC51" s="154"/>
      <c r="AD51" s="154"/>
      <c r="AE51" s="154"/>
      <c r="AF51" s="154"/>
      <c r="AG51" s="154"/>
      <c r="AH51" s="154"/>
      <c r="AI51" s="154"/>
      <c r="AJ51" s="154"/>
      <c r="AK51" s="154"/>
      <c r="AL51" s="154"/>
      <c r="AM51" s="154"/>
      <c r="AN51" s="154"/>
      <c r="AO51" s="154"/>
      <c r="AP51" s="154"/>
      <c r="AQ51" s="154"/>
    </row>
    <row r="52" spans="3:43" s="152" customFormat="1" ht="13.5">
      <c r="C52" s="152" t="str">
        <f>Input!E66</f>
        <v>Current Portion of Long Term Debt</v>
      </c>
      <c r="I52" s="152">
        <f>+Input!$I66</f>
        <v>0</v>
      </c>
      <c r="J52" s="152">
        <f>+Input!$K66</f>
        <v>0</v>
      </c>
      <c r="K52" s="152">
        <f>+Input!$M66</f>
        <v>0</v>
      </c>
      <c r="L52" s="63">
        <f>+Input!$O66</f>
        <v>0</v>
      </c>
      <c r="M52" s="63">
        <f>L52*(1+Input!O125)</f>
        <v>0</v>
      </c>
      <c r="N52" s="63">
        <f>(M52*(1+Input!P125))*(1+Input!P90)</f>
        <v>0</v>
      </c>
      <c r="O52" s="63">
        <f>(N52*(1+Input!Q125))*(1+Input!Q90)</f>
        <v>0</v>
      </c>
      <c r="P52" s="63">
        <f>(O52*(1+Input!R125))*(1+Input!R90)</f>
        <v>0</v>
      </c>
      <c r="Q52" s="63">
        <f>(P52*(1+Input!S125))*(1+Input!S90)</f>
        <v>0</v>
      </c>
      <c r="R52" s="63"/>
      <c r="S52" s="154"/>
      <c r="T52" s="154"/>
      <c r="U52" s="154"/>
      <c r="V52" s="154"/>
      <c r="W52" s="154"/>
      <c r="X52" s="154"/>
      <c r="Y52" s="154"/>
      <c r="Z52" s="154"/>
      <c r="AA52" s="154"/>
      <c r="AB52" s="154"/>
      <c r="AC52" s="154"/>
      <c r="AD52" s="154"/>
      <c r="AE52" s="154"/>
      <c r="AF52" s="154"/>
      <c r="AG52" s="154"/>
      <c r="AH52" s="154"/>
      <c r="AI52" s="154"/>
      <c r="AJ52" s="154"/>
      <c r="AK52" s="154"/>
      <c r="AL52" s="154"/>
      <c r="AM52" s="154"/>
      <c r="AN52" s="154"/>
      <c r="AO52" s="154"/>
      <c r="AP52" s="154"/>
      <c r="AQ52" s="154"/>
    </row>
    <row r="53" spans="3:43" s="152" customFormat="1" ht="13.5">
      <c r="C53" s="152" t="str">
        <f>Input!E67</f>
        <v>Taxes Payable</v>
      </c>
      <c r="I53" s="152">
        <f>+Input!$I67</f>
        <v>0</v>
      </c>
      <c r="J53" s="152">
        <f>+Input!$K67</f>
        <v>0</v>
      </c>
      <c r="K53" s="152">
        <f>+Input!$M67</f>
        <v>0</v>
      </c>
      <c r="L53" s="63">
        <f>+Input!$O67</f>
        <v>2359</v>
      </c>
      <c r="M53" s="63">
        <f>L53*(1+Input!O126)</f>
        <v>2359</v>
      </c>
      <c r="N53" s="63">
        <f>M53</f>
        <v>2359</v>
      </c>
      <c r="O53" s="63">
        <f>N53</f>
        <v>2359</v>
      </c>
      <c r="P53" s="63">
        <f>O53</f>
        <v>2359</v>
      </c>
      <c r="Q53" s="63">
        <f>P53</f>
        <v>2359</v>
      </c>
      <c r="R53" s="63">
        <f>(Q53*(1+Input!T126))*(1+Input!T90)</f>
        <v>2359</v>
      </c>
      <c r="S53" s="154"/>
      <c r="T53" s="154"/>
      <c r="U53" s="154"/>
      <c r="V53" s="154"/>
      <c r="W53" s="154"/>
      <c r="X53" s="154"/>
      <c r="Y53" s="154"/>
      <c r="Z53" s="154"/>
      <c r="AA53" s="154"/>
      <c r="AB53" s="154"/>
      <c r="AC53" s="154"/>
      <c r="AD53" s="154"/>
      <c r="AE53" s="154"/>
      <c r="AF53" s="154"/>
      <c r="AG53" s="154"/>
      <c r="AH53" s="154"/>
      <c r="AI53" s="154"/>
      <c r="AJ53" s="154"/>
      <c r="AK53" s="154"/>
      <c r="AL53" s="154"/>
      <c r="AM53" s="154"/>
      <c r="AN53" s="154"/>
      <c r="AO53" s="154"/>
      <c r="AP53" s="154"/>
      <c r="AQ53" s="154"/>
    </row>
    <row r="54" spans="3:43" s="152" customFormat="1" ht="13.5">
      <c r="C54" s="152" t="str">
        <f>+Input!$E$68</f>
        <v>Distributions Payable</v>
      </c>
      <c r="I54" s="152">
        <f>+Input!$I68</f>
        <v>0</v>
      </c>
      <c r="J54" s="152">
        <f>+Input!$K68</f>
        <v>0</v>
      </c>
      <c r="K54" s="152">
        <f>+Input!$M68</f>
        <v>0</v>
      </c>
      <c r="L54" s="63">
        <f>+Input!$O68</f>
        <v>0</v>
      </c>
      <c r="M54" s="63">
        <f>L54*(1+Input!O127)</f>
        <v>0</v>
      </c>
      <c r="N54" s="63">
        <f>M54*(1+Input!P127)</f>
        <v>0</v>
      </c>
      <c r="O54" s="63">
        <f>N54*(1+Input!Q127)</f>
        <v>0</v>
      </c>
      <c r="P54" s="63">
        <f>O54*(1+Input!R127)</f>
        <v>0</v>
      </c>
      <c r="Q54" s="63">
        <f>P54*(1+Input!S127)</f>
        <v>0</v>
      </c>
      <c r="R54" s="63">
        <f>Q54*(1+Input!T127)</f>
        <v>0</v>
      </c>
      <c r="S54" s="154"/>
      <c r="T54" s="154"/>
      <c r="U54" s="154"/>
      <c r="V54" s="154"/>
      <c r="W54" s="154"/>
      <c r="X54" s="154"/>
      <c r="Y54" s="154"/>
      <c r="Z54" s="154"/>
      <c r="AA54" s="154"/>
      <c r="AB54" s="154"/>
      <c r="AC54" s="154"/>
      <c r="AD54" s="154"/>
      <c r="AE54" s="154"/>
      <c r="AF54" s="154"/>
      <c r="AG54" s="154"/>
      <c r="AH54" s="154"/>
      <c r="AI54" s="154"/>
      <c r="AJ54" s="154"/>
      <c r="AK54" s="154"/>
      <c r="AL54" s="154"/>
      <c r="AM54" s="154"/>
      <c r="AN54" s="154"/>
      <c r="AO54" s="154"/>
      <c r="AP54" s="154"/>
      <c r="AQ54" s="154"/>
    </row>
    <row r="55" spans="3:43" s="152" customFormat="1" ht="13.5">
      <c r="C55" s="152" t="s">
        <v>55</v>
      </c>
      <c r="I55" s="153">
        <f>+Input!$I69</f>
        <v>0</v>
      </c>
      <c r="J55" s="153">
        <f>+Input!$K69</f>
        <v>0</v>
      </c>
      <c r="K55" s="153">
        <f>+Input!$M69</f>
        <v>0</v>
      </c>
      <c r="L55" s="153">
        <f>+Input!$O69</f>
        <v>8153</v>
      </c>
      <c r="M55" s="63">
        <f>L55*(1+Input!O128)</f>
        <v>8153</v>
      </c>
      <c r="N55" s="63">
        <f>M55</f>
        <v>8153</v>
      </c>
      <c r="O55" s="63">
        <f>N55</f>
        <v>8153</v>
      </c>
      <c r="P55" s="63">
        <f>O55</f>
        <v>8153</v>
      </c>
      <c r="Q55" s="63">
        <f>P55</f>
        <v>8153</v>
      </c>
      <c r="S55" s="154"/>
      <c r="T55" s="154"/>
      <c r="U55" s="154"/>
      <c r="V55" s="154"/>
      <c r="W55" s="154"/>
      <c r="X55" s="154"/>
      <c r="Y55" s="154"/>
      <c r="Z55" s="154"/>
      <c r="AA55" s="154"/>
      <c r="AB55" s="154"/>
      <c r="AC55" s="154"/>
      <c r="AD55" s="154"/>
      <c r="AE55" s="154"/>
      <c r="AF55" s="154"/>
      <c r="AG55" s="154"/>
      <c r="AH55" s="154"/>
      <c r="AI55" s="154"/>
      <c r="AJ55" s="154"/>
      <c r="AK55" s="154"/>
      <c r="AL55" s="154"/>
      <c r="AM55" s="154"/>
      <c r="AN55" s="154"/>
      <c r="AO55" s="154"/>
      <c r="AP55" s="154"/>
      <c r="AQ55" s="154"/>
    </row>
    <row r="56" spans="4:43" s="14" customFormat="1" ht="13.5">
      <c r="D56" s="14" t="s">
        <v>151</v>
      </c>
      <c r="H56" s="152"/>
      <c r="I56" s="58">
        <f>SUM(I47:I55)</f>
        <v>0</v>
      </c>
      <c r="J56" s="58">
        <f>SUM(J47:J55)</f>
        <v>0</v>
      </c>
      <c r="K56" s="58">
        <f>SUM(K47:K55)</f>
        <v>0</v>
      </c>
      <c r="L56" s="58">
        <f aca="true" t="shared" si="4" ref="L56:Q56">SUM(L47:L55)</f>
        <v>26743</v>
      </c>
      <c r="M56" s="58">
        <f t="shared" si="4"/>
        <v>27126.85</v>
      </c>
      <c r="N56" s="58">
        <f t="shared" si="4"/>
        <v>27529.8925</v>
      </c>
      <c r="O56" s="58">
        <f t="shared" si="4"/>
        <v>27953.087125</v>
      </c>
      <c r="P56" s="58">
        <f t="shared" si="4"/>
        <v>28397.44148125</v>
      </c>
      <c r="Q56" s="58">
        <f t="shared" si="4"/>
        <v>28864.0135553125</v>
      </c>
      <c r="R56" s="58"/>
      <c r="S56" s="1"/>
      <c r="T56" s="1"/>
      <c r="U56" s="1"/>
      <c r="V56" s="1"/>
      <c r="W56" s="1"/>
      <c r="X56" s="1"/>
      <c r="Y56" s="1"/>
      <c r="Z56" s="1"/>
      <c r="AA56" s="1"/>
      <c r="AB56" s="1"/>
      <c r="AC56" s="1"/>
      <c r="AD56" s="1"/>
      <c r="AE56" s="1"/>
      <c r="AF56" s="1"/>
      <c r="AG56" s="1"/>
      <c r="AH56" s="1"/>
      <c r="AI56" s="1"/>
      <c r="AJ56" s="1"/>
      <c r="AK56" s="1"/>
      <c r="AL56" s="1"/>
      <c r="AM56" s="1"/>
      <c r="AN56" s="1"/>
      <c r="AO56" s="1"/>
      <c r="AP56" s="1"/>
      <c r="AQ56" s="1"/>
    </row>
    <row r="57" spans="12:43" s="14" customFormat="1" ht="13.5">
      <c r="L57" s="16"/>
      <c r="M57" s="16"/>
      <c r="S57" s="1"/>
      <c r="T57" s="1"/>
      <c r="U57" s="1"/>
      <c r="V57" s="1"/>
      <c r="W57" s="1"/>
      <c r="X57" s="1"/>
      <c r="Y57" s="1"/>
      <c r="Z57" s="1"/>
      <c r="AA57" s="1"/>
      <c r="AB57" s="1"/>
      <c r="AC57" s="1"/>
      <c r="AD57" s="1"/>
      <c r="AE57" s="1"/>
      <c r="AF57" s="1"/>
      <c r="AG57" s="1"/>
      <c r="AH57" s="1"/>
      <c r="AI57" s="1"/>
      <c r="AJ57" s="1"/>
      <c r="AK57" s="1"/>
      <c r="AL57" s="1"/>
      <c r="AM57" s="1"/>
      <c r="AN57" s="1"/>
      <c r="AO57" s="1"/>
      <c r="AP57" s="1"/>
      <c r="AQ57" s="1"/>
    </row>
    <row r="58" spans="2:43" s="14" customFormat="1" ht="13.5">
      <c r="B58" s="14" t="s">
        <v>56</v>
      </c>
      <c r="L58" s="16"/>
      <c r="M58" s="16"/>
      <c r="S58" s="1"/>
      <c r="T58" s="1"/>
      <c r="U58" s="1"/>
      <c r="V58" s="1"/>
      <c r="W58" s="1"/>
      <c r="X58" s="1"/>
      <c r="Y58" s="1"/>
      <c r="Z58" s="1"/>
      <c r="AA58" s="1"/>
      <c r="AB58" s="1"/>
      <c r="AC58" s="1"/>
      <c r="AD58" s="1"/>
      <c r="AE58" s="1"/>
      <c r="AF58" s="1"/>
      <c r="AG58" s="1"/>
      <c r="AH58" s="1"/>
      <c r="AI58" s="1"/>
      <c r="AJ58" s="1"/>
      <c r="AK58" s="1"/>
      <c r="AL58" s="1"/>
      <c r="AM58" s="1"/>
      <c r="AN58" s="1"/>
      <c r="AO58" s="1"/>
      <c r="AP58" s="1"/>
      <c r="AQ58" s="1"/>
    </row>
    <row r="59" spans="3:43" s="152" customFormat="1" ht="13.5">
      <c r="C59" s="152" t="str">
        <f>+Input!$E$71</f>
        <v>Long-Term Notes</v>
      </c>
      <c r="I59" s="152">
        <f>+Input!$I$71</f>
        <v>0</v>
      </c>
      <c r="J59" s="152">
        <f>+Input!$K$71</f>
        <v>0</v>
      </c>
      <c r="K59" s="152">
        <f>+Input!$M$71</f>
        <v>0</v>
      </c>
      <c r="L59" s="63">
        <f>+Input!$O$71</f>
        <v>10901</v>
      </c>
      <c r="M59" s="63">
        <f>L59*(1+Input!O130)</f>
        <v>10901</v>
      </c>
      <c r="N59" s="63">
        <f>M59</f>
        <v>10901</v>
      </c>
      <c r="O59" s="63">
        <f>N59</f>
        <v>10901</v>
      </c>
      <c r="P59" s="63">
        <f>O59</f>
        <v>10901</v>
      </c>
      <c r="Q59" s="63">
        <f>P59</f>
        <v>10901</v>
      </c>
      <c r="S59" s="154"/>
      <c r="T59" s="154"/>
      <c r="U59" s="154"/>
      <c r="V59" s="154"/>
      <c r="W59" s="154"/>
      <c r="X59" s="154"/>
      <c r="Y59" s="154"/>
      <c r="Z59" s="154"/>
      <c r="AA59" s="154"/>
      <c r="AB59" s="154"/>
      <c r="AC59" s="154"/>
      <c r="AD59" s="154"/>
      <c r="AE59" s="154"/>
      <c r="AF59" s="154"/>
      <c r="AG59" s="154"/>
      <c r="AH59" s="154"/>
      <c r="AI59" s="154"/>
      <c r="AJ59" s="154"/>
      <c r="AK59" s="154"/>
      <c r="AL59" s="154"/>
      <c r="AM59" s="154"/>
      <c r="AN59" s="154"/>
      <c r="AO59" s="154"/>
      <c r="AP59" s="154"/>
      <c r="AQ59" s="154"/>
    </row>
    <row r="60" spans="3:43" s="14" customFormat="1" ht="13.5">
      <c r="C60" s="14" t="s">
        <v>58</v>
      </c>
      <c r="I60" s="152">
        <f>+Input!$I$72</f>
        <v>0</v>
      </c>
      <c r="J60" s="152">
        <f>+Input!$K$72</f>
        <v>0</v>
      </c>
      <c r="K60" s="152">
        <f>+Input!$M$72</f>
        <v>0</v>
      </c>
      <c r="L60" s="16">
        <f>Input!O72</f>
        <v>10939</v>
      </c>
      <c r="M60" s="16">
        <f>Statements!L60</f>
        <v>10939</v>
      </c>
      <c r="N60" s="16">
        <f aca="true" t="shared" si="5" ref="N60:Q61">M60</f>
        <v>10939</v>
      </c>
      <c r="O60" s="16">
        <f t="shared" si="5"/>
        <v>10939</v>
      </c>
      <c r="P60" s="16">
        <f t="shared" si="5"/>
        <v>10939</v>
      </c>
      <c r="Q60" s="16">
        <f t="shared" si="5"/>
        <v>10939</v>
      </c>
      <c r="R60" s="16"/>
      <c r="S60" s="1"/>
      <c r="T60" s="1"/>
      <c r="U60" s="1"/>
      <c r="V60" s="1"/>
      <c r="W60" s="1"/>
      <c r="X60" s="1"/>
      <c r="Y60" s="1"/>
      <c r="Z60" s="1"/>
      <c r="AA60" s="1"/>
      <c r="AB60" s="1"/>
      <c r="AC60" s="1"/>
      <c r="AD60" s="1"/>
      <c r="AE60" s="1"/>
      <c r="AF60" s="1"/>
      <c r="AG60" s="1"/>
      <c r="AH60" s="1"/>
      <c r="AI60" s="1"/>
      <c r="AJ60" s="1"/>
      <c r="AK60" s="1"/>
      <c r="AL60" s="1"/>
      <c r="AM60" s="1"/>
      <c r="AN60" s="1"/>
      <c r="AO60" s="1"/>
      <c r="AP60" s="1"/>
      <c r="AQ60" s="1"/>
    </row>
    <row r="61" spans="3:43" s="14" customFormat="1" ht="13.5">
      <c r="C61" s="14" t="str">
        <f>+Input!E73</f>
        <v>Deferred Taxes Payable</v>
      </c>
      <c r="I61" s="23">
        <f>+Input!$I$73</f>
        <v>0</v>
      </c>
      <c r="J61" s="23">
        <f>+Input!$K$73</f>
        <v>0</v>
      </c>
      <c r="K61" s="23">
        <f>+Input!$M$73</f>
        <v>0</v>
      </c>
      <c r="L61" s="23">
        <f>+Input!$O$73</f>
        <v>770</v>
      </c>
      <c r="M61" s="23">
        <f>L61*(1+Input!O131)</f>
        <v>770</v>
      </c>
      <c r="N61" s="23">
        <f t="shared" si="5"/>
        <v>770</v>
      </c>
      <c r="O61" s="23">
        <f t="shared" si="5"/>
        <v>770</v>
      </c>
      <c r="P61" s="23">
        <f t="shared" si="5"/>
        <v>770</v>
      </c>
      <c r="Q61" s="23">
        <f t="shared" si="5"/>
        <v>770</v>
      </c>
      <c r="S61" s="1"/>
      <c r="T61" s="1"/>
      <c r="U61" s="1"/>
      <c r="V61" s="1"/>
      <c r="W61" s="1"/>
      <c r="X61" s="1"/>
      <c r="Y61" s="1"/>
      <c r="Z61" s="1"/>
      <c r="AA61" s="1"/>
      <c r="AB61" s="1"/>
      <c r="AC61" s="1"/>
      <c r="AD61" s="1"/>
      <c r="AE61" s="1"/>
      <c r="AF61" s="1"/>
      <c r="AG61" s="1"/>
      <c r="AH61" s="1"/>
      <c r="AI61" s="1"/>
      <c r="AJ61" s="1"/>
      <c r="AK61" s="1"/>
      <c r="AL61" s="1"/>
      <c r="AM61" s="1"/>
      <c r="AN61" s="1"/>
      <c r="AO61" s="1"/>
      <c r="AP61" s="1"/>
      <c r="AQ61" s="1"/>
    </row>
    <row r="62" spans="4:43" s="14" customFormat="1" ht="13.5">
      <c r="D62" s="14" t="s">
        <v>152</v>
      </c>
      <c r="I62" s="58">
        <f>SUM(I59:I61)</f>
        <v>0</v>
      </c>
      <c r="J62" s="58">
        <f>SUM(J59:J61)</f>
        <v>0</v>
      </c>
      <c r="K62" s="58">
        <f>SUM(K59:K61)</f>
        <v>0</v>
      </c>
      <c r="L62" s="58">
        <f aca="true" t="shared" si="6" ref="L62:Q62">SUM(L59:L61)</f>
        <v>22610</v>
      </c>
      <c r="M62" s="16">
        <f t="shared" si="6"/>
        <v>22610</v>
      </c>
      <c r="N62" s="58">
        <f t="shared" si="6"/>
        <v>22610</v>
      </c>
      <c r="O62" s="58">
        <f t="shared" si="6"/>
        <v>22610</v>
      </c>
      <c r="P62" s="58">
        <f t="shared" si="6"/>
        <v>22610</v>
      </c>
      <c r="Q62" s="58">
        <f t="shared" si="6"/>
        <v>22610</v>
      </c>
      <c r="S62" s="1"/>
      <c r="T62" s="1"/>
      <c r="U62" s="1"/>
      <c r="V62" s="1"/>
      <c r="W62" s="1"/>
      <c r="X62" s="1"/>
      <c r="Y62" s="1"/>
      <c r="Z62" s="1"/>
      <c r="AA62" s="1"/>
      <c r="AB62" s="1"/>
      <c r="AC62" s="1"/>
      <c r="AD62" s="1"/>
      <c r="AE62" s="1"/>
      <c r="AF62" s="1"/>
      <c r="AG62" s="1"/>
      <c r="AH62" s="1"/>
      <c r="AI62" s="1"/>
      <c r="AJ62" s="1"/>
      <c r="AK62" s="1"/>
      <c r="AL62" s="1"/>
      <c r="AM62" s="1"/>
      <c r="AN62" s="1"/>
      <c r="AO62" s="1"/>
      <c r="AP62" s="1"/>
      <c r="AQ62" s="1"/>
    </row>
    <row r="63" spans="9:43" s="14" customFormat="1" ht="13.5">
      <c r="I63" s="23"/>
      <c r="J63" s="23"/>
      <c r="K63" s="23"/>
      <c r="L63" s="23"/>
      <c r="M63" s="23"/>
      <c r="N63" s="23"/>
      <c r="O63" s="23"/>
      <c r="P63" s="23"/>
      <c r="Q63" s="23"/>
      <c r="S63" s="1"/>
      <c r="T63" s="1"/>
      <c r="U63" s="1"/>
      <c r="V63" s="1"/>
      <c r="W63" s="1"/>
      <c r="X63" s="1"/>
      <c r="Y63" s="1"/>
      <c r="Z63" s="1"/>
      <c r="AA63" s="1"/>
      <c r="AB63" s="1"/>
      <c r="AC63" s="1"/>
      <c r="AD63" s="1"/>
      <c r="AE63" s="1"/>
      <c r="AF63" s="1"/>
      <c r="AG63" s="1"/>
      <c r="AH63" s="1"/>
      <c r="AI63" s="1"/>
      <c r="AJ63" s="1"/>
      <c r="AK63" s="1"/>
      <c r="AL63" s="1"/>
      <c r="AM63" s="1"/>
      <c r="AN63" s="1"/>
      <c r="AO63" s="1"/>
      <c r="AP63" s="1"/>
      <c r="AQ63" s="1"/>
    </row>
    <row r="64" spans="2:43" s="14" customFormat="1" ht="13.5">
      <c r="B64" s="14" t="s">
        <v>153</v>
      </c>
      <c r="I64" s="16">
        <f aca="true" t="shared" si="7" ref="I64:Q64">+I62+I56</f>
        <v>0</v>
      </c>
      <c r="J64" s="16">
        <f t="shared" si="7"/>
        <v>0</v>
      </c>
      <c r="K64" s="16">
        <f t="shared" si="7"/>
        <v>0</v>
      </c>
      <c r="L64" s="16">
        <f t="shared" si="7"/>
        <v>49353</v>
      </c>
      <c r="M64" s="16">
        <f t="shared" si="7"/>
        <v>49736.85</v>
      </c>
      <c r="N64" s="14">
        <f t="shared" si="7"/>
        <v>50139.8925</v>
      </c>
      <c r="O64" s="14">
        <f t="shared" si="7"/>
        <v>50563.087125</v>
      </c>
      <c r="P64" s="14">
        <f t="shared" si="7"/>
        <v>51007.44148125</v>
      </c>
      <c r="Q64" s="14">
        <f t="shared" si="7"/>
        <v>51474.0135553125</v>
      </c>
      <c r="S64" s="1"/>
      <c r="T64" s="1"/>
      <c r="U64" s="1"/>
      <c r="V64" s="1"/>
      <c r="W64" s="1"/>
      <c r="X64" s="1"/>
      <c r="Y64" s="1"/>
      <c r="Z64" s="1"/>
      <c r="AA64" s="1"/>
      <c r="AB64" s="1"/>
      <c r="AC64" s="1"/>
      <c r="AD64" s="1"/>
      <c r="AE64" s="1"/>
      <c r="AF64" s="1"/>
      <c r="AG64" s="1"/>
      <c r="AH64" s="1"/>
      <c r="AI64" s="1"/>
      <c r="AJ64" s="1"/>
      <c r="AK64" s="1"/>
      <c r="AL64" s="1"/>
      <c r="AM64" s="1"/>
      <c r="AN64" s="1"/>
      <c r="AO64" s="1"/>
      <c r="AP64" s="1"/>
      <c r="AQ64" s="1"/>
    </row>
    <row r="65" spans="12:43" s="14" customFormat="1" ht="13.5">
      <c r="L65" s="16"/>
      <c r="M65" s="16"/>
      <c r="S65" s="1"/>
      <c r="T65" s="1"/>
      <c r="U65" s="1"/>
      <c r="V65" s="1"/>
      <c r="W65" s="1"/>
      <c r="X65" s="1"/>
      <c r="Y65" s="1"/>
      <c r="Z65" s="1"/>
      <c r="AA65" s="1"/>
      <c r="AB65" s="1"/>
      <c r="AC65" s="1"/>
      <c r="AD65" s="1"/>
      <c r="AE65" s="1"/>
      <c r="AF65" s="1"/>
      <c r="AG65" s="1"/>
      <c r="AH65" s="1"/>
      <c r="AI65" s="1"/>
      <c r="AJ65" s="1"/>
      <c r="AK65" s="1"/>
      <c r="AL65" s="1"/>
      <c r="AM65" s="1"/>
      <c r="AN65" s="1"/>
      <c r="AO65" s="1"/>
      <c r="AP65" s="1"/>
      <c r="AQ65" s="1"/>
    </row>
    <row r="66" spans="1:43" s="14" customFormat="1" ht="15">
      <c r="A66" s="106" t="s">
        <v>154</v>
      </c>
      <c r="L66" s="16"/>
      <c r="M66" s="16"/>
      <c r="S66" s="1"/>
      <c r="T66" s="1"/>
      <c r="U66" s="1"/>
      <c r="V66" s="1"/>
      <c r="W66" s="1"/>
      <c r="X66" s="1"/>
      <c r="Y66" s="1"/>
      <c r="Z66" s="1"/>
      <c r="AA66" s="1"/>
      <c r="AB66" s="1"/>
      <c r="AC66" s="1"/>
      <c r="AD66" s="1"/>
      <c r="AE66" s="1"/>
      <c r="AF66" s="1"/>
      <c r="AG66" s="1"/>
      <c r="AH66" s="1"/>
      <c r="AI66" s="1"/>
      <c r="AJ66" s="1"/>
      <c r="AK66" s="1"/>
      <c r="AL66" s="1"/>
      <c r="AM66" s="1"/>
      <c r="AN66" s="1"/>
      <c r="AO66" s="1"/>
      <c r="AP66" s="1"/>
      <c r="AQ66" s="1"/>
    </row>
    <row r="67" spans="12:43" s="14" customFormat="1" ht="13.5">
      <c r="L67" s="16"/>
      <c r="M67" s="16"/>
      <c r="S67" s="1"/>
      <c r="T67" s="1"/>
      <c r="U67" s="1"/>
      <c r="V67" s="1"/>
      <c r="W67" s="1"/>
      <c r="X67" s="1"/>
      <c r="Y67" s="1"/>
      <c r="Z67" s="1"/>
      <c r="AA67" s="1"/>
      <c r="AB67" s="1"/>
      <c r="AC67" s="1"/>
      <c r="AD67" s="1"/>
      <c r="AE67" s="1"/>
      <c r="AF67" s="1"/>
      <c r="AG67" s="1"/>
      <c r="AH67" s="1"/>
      <c r="AI67" s="1"/>
      <c r="AJ67" s="1"/>
      <c r="AK67" s="1"/>
      <c r="AL67" s="1"/>
      <c r="AM67" s="1"/>
      <c r="AN67" s="1"/>
      <c r="AO67" s="1"/>
      <c r="AP67" s="1"/>
      <c r="AQ67" s="1"/>
    </row>
    <row r="68" spans="2:43" s="14" customFormat="1" ht="13.5">
      <c r="B68" s="14" t="str">
        <f>+Input!$E$76</f>
        <v>Retained Earnings</v>
      </c>
      <c r="I68" s="14">
        <f>+Input!$I$76</f>
        <v>0</v>
      </c>
      <c r="J68" s="14">
        <f>+Input!$K$76</f>
        <v>0</v>
      </c>
      <c r="K68" s="14">
        <f>+Input!$M$76</f>
        <v>0</v>
      </c>
      <c r="L68" s="16">
        <f>+Input!$O$76</f>
        <v>49365</v>
      </c>
      <c r="M68" s="16">
        <f>+M122</f>
        <v>54963.13310155512</v>
      </c>
      <c r="N68" s="14">
        <f>+N122</f>
        <v>60935.735945610235</v>
      </c>
      <c r="O68" s="14">
        <f>+O122</f>
        <v>67301.56893379036</v>
      </c>
      <c r="P68" s="14">
        <f>+P122</f>
        <v>74080.30088655172</v>
      </c>
      <c r="Q68" s="14">
        <f>+Q122</f>
        <v>81292.5628221234</v>
      </c>
      <c r="S68" s="1"/>
      <c r="T68" s="1"/>
      <c r="U68" s="1"/>
      <c r="V68" s="1"/>
      <c r="W68" s="1"/>
      <c r="X68" s="1"/>
      <c r="Y68" s="1"/>
      <c r="Z68" s="1"/>
      <c r="AA68" s="1"/>
      <c r="AB68" s="1"/>
      <c r="AC68" s="1"/>
      <c r="AD68" s="1"/>
      <c r="AE68" s="1"/>
      <c r="AF68" s="1"/>
      <c r="AG68" s="1"/>
      <c r="AH68" s="1"/>
      <c r="AI68" s="1"/>
      <c r="AJ68" s="1"/>
      <c r="AK68" s="1"/>
      <c r="AL68" s="1"/>
      <c r="AM68" s="1"/>
      <c r="AN68" s="1"/>
      <c r="AO68" s="1"/>
      <c r="AP68" s="1"/>
      <c r="AQ68" s="1"/>
    </row>
    <row r="69" spans="2:43" s="14" customFormat="1" ht="13.5">
      <c r="B69" s="14" t="str">
        <f>+Input!$E$77</f>
        <v>Common Equity</v>
      </c>
      <c r="I69" s="14">
        <f>+Input!$I77+Input!I81</f>
        <v>0</v>
      </c>
      <c r="J69" s="14">
        <f>+Input!$K77+Input!K81</f>
        <v>0</v>
      </c>
      <c r="K69" s="14">
        <f>+Input!$M77+Input!M81</f>
        <v>0</v>
      </c>
      <c r="L69" s="16">
        <f>+Input!$O77+Input!O81</f>
        <v>1736</v>
      </c>
      <c r="M69" s="16">
        <f aca="true" t="shared" si="8" ref="M69:Q70">+L69</f>
        <v>1736</v>
      </c>
      <c r="N69" s="14">
        <f t="shared" si="8"/>
        <v>1736</v>
      </c>
      <c r="O69" s="14">
        <f t="shared" si="8"/>
        <v>1736</v>
      </c>
      <c r="P69" s="14">
        <f t="shared" si="8"/>
        <v>1736</v>
      </c>
      <c r="Q69" s="14">
        <f t="shared" si="8"/>
        <v>1736</v>
      </c>
      <c r="S69" s="1"/>
      <c r="T69" s="1"/>
      <c r="U69" s="1"/>
      <c r="V69" s="1"/>
      <c r="W69" s="1"/>
      <c r="X69" s="1"/>
      <c r="Y69" s="1"/>
      <c r="Z69" s="1"/>
      <c r="AA69" s="1"/>
      <c r="AB69" s="1"/>
      <c r="AC69" s="1"/>
      <c r="AD69" s="1"/>
      <c r="AE69" s="1"/>
      <c r="AF69" s="1"/>
      <c r="AG69" s="1"/>
      <c r="AH69" s="1"/>
      <c r="AI69" s="1"/>
      <c r="AJ69" s="1"/>
      <c r="AK69" s="1"/>
      <c r="AL69" s="1"/>
      <c r="AM69" s="1"/>
      <c r="AN69" s="1"/>
      <c r="AO69" s="1"/>
      <c r="AP69" s="1"/>
      <c r="AQ69" s="1"/>
    </row>
    <row r="70" spans="2:43" s="14" customFormat="1" ht="13.5">
      <c r="B70" s="14" t="s">
        <v>155</v>
      </c>
      <c r="I70" s="14">
        <f>+Input!$I78</f>
        <v>0</v>
      </c>
      <c r="J70" s="14">
        <f>+Input!$K78</f>
        <v>0</v>
      </c>
      <c r="K70" s="14">
        <f>+Input!$M78</f>
        <v>0</v>
      </c>
      <c r="L70" s="16">
        <f>+Input!$O78</f>
        <v>0</v>
      </c>
      <c r="M70" s="16">
        <f t="shared" si="8"/>
        <v>0</v>
      </c>
      <c r="N70" s="14">
        <f t="shared" si="8"/>
        <v>0</v>
      </c>
      <c r="O70" s="14">
        <f t="shared" si="8"/>
        <v>0</v>
      </c>
      <c r="P70" s="14">
        <f t="shared" si="8"/>
        <v>0</v>
      </c>
      <c r="Q70" s="14">
        <f t="shared" si="8"/>
        <v>0</v>
      </c>
      <c r="S70" s="1"/>
      <c r="T70" s="1"/>
      <c r="U70" s="1"/>
      <c r="V70" s="1"/>
      <c r="W70" s="1"/>
      <c r="X70" s="1"/>
      <c r="Y70" s="1"/>
      <c r="Z70" s="1"/>
      <c r="AA70" s="1"/>
      <c r="AB70" s="1"/>
      <c r="AC70" s="1"/>
      <c r="AD70" s="1"/>
      <c r="AE70" s="1"/>
      <c r="AF70" s="1"/>
      <c r="AG70" s="1"/>
      <c r="AH70" s="1"/>
      <c r="AI70" s="1"/>
      <c r="AJ70" s="1"/>
      <c r="AK70" s="1"/>
      <c r="AL70" s="1"/>
      <c r="AM70" s="1"/>
      <c r="AN70" s="1"/>
      <c r="AO70" s="1"/>
      <c r="AP70" s="1"/>
      <c r="AQ70" s="1"/>
    </row>
    <row r="71" spans="2:43" s="152" customFormat="1" ht="13.5">
      <c r="B71" s="152" t="s">
        <v>64</v>
      </c>
      <c r="I71" s="152">
        <f>+Input!$I79</f>
        <v>0</v>
      </c>
      <c r="J71" s="152">
        <f>+Input!$K79</f>
        <v>0</v>
      </c>
      <c r="K71" s="152">
        <f>+Input!$M79</f>
        <v>0</v>
      </c>
      <c r="L71" s="63">
        <f>+Input!$O79</f>
        <v>668</v>
      </c>
      <c r="M71" s="152">
        <f aca="true" t="shared" si="9" ref="M71:Q72">L71</f>
        <v>668</v>
      </c>
      <c r="N71" s="152">
        <f t="shared" si="9"/>
        <v>668</v>
      </c>
      <c r="O71" s="152">
        <f t="shared" si="9"/>
        <v>668</v>
      </c>
      <c r="P71" s="152">
        <f t="shared" si="9"/>
        <v>668</v>
      </c>
      <c r="Q71" s="152">
        <f t="shared" si="9"/>
        <v>668</v>
      </c>
      <c r="R71" s="152">
        <f>Q71*Input!T133</f>
        <v>0</v>
      </c>
      <c r="S71" s="154"/>
      <c r="T71" s="154"/>
      <c r="U71" s="154"/>
      <c r="V71" s="154"/>
      <c r="W71" s="154"/>
      <c r="X71" s="154"/>
      <c r="Y71" s="154"/>
      <c r="Z71" s="154"/>
      <c r="AA71" s="154"/>
      <c r="AB71" s="154"/>
      <c r="AC71" s="154"/>
      <c r="AD71" s="154"/>
      <c r="AE71" s="154"/>
      <c r="AF71" s="154"/>
      <c r="AG71" s="154"/>
      <c r="AH71" s="154"/>
      <c r="AI71" s="154"/>
      <c r="AJ71" s="154"/>
      <c r="AK71" s="154"/>
      <c r="AL71" s="154"/>
      <c r="AM71" s="154"/>
      <c r="AN71" s="154"/>
      <c r="AO71" s="154"/>
      <c r="AP71" s="154"/>
      <c r="AQ71" s="154"/>
    </row>
    <row r="72" spans="2:43" s="152" customFormat="1" ht="13.5">
      <c r="B72" s="152" t="str">
        <f>+Input!$E80</f>
        <v>Treasury Stock</v>
      </c>
      <c r="H72" s="14"/>
      <c r="I72" s="153">
        <f>+Input!$I80</f>
        <v>0</v>
      </c>
      <c r="J72" s="153">
        <f>+Input!$K80</f>
        <v>0</v>
      </c>
      <c r="K72" s="153">
        <f>+Input!$M80</f>
        <v>0</v>
      </c>
      <c r="L72" s="63">
        <f>+Input!$O80</f>
        <v>-16977</v>
      </c>
      <c r="M72" s="152">
        <f t="shared" si="9"/>
        <v>-16977</v>
      </c>
      <c r="N72" s="152">
        <f t="shared" si="9"/>
        <v>-16977</v>
      </c>
      <c r="O72" s="152">
        <f t="shared" si="9"/>
        <v>-16977</v>
      </c>
      <c r="P72" s="152">
        <f t="shared" si="9"/>
        <v>-16977</v>
      </c>
      <c r="Q72" s="152">
        <f t="shared" si="9"/>
        <v>-16977</v>
      </c>
      <c r="R72" s="152">
        <f>Q72*Input!T134</f>
        <v>0</v>
      </c>
      <c r="S72" s="154"/>
      <c r="T72" s="154"/>
      <c r="U72" s="154"/>
      <c r="V72" s="154"/>
      <c r="W72" s="154"/>
      <c r="X72" s="154"/>
      <c r="Y72" s="154"/>
      <c r="Z72" s="154"/>
      <c r="AA72" s="154"/>
      <c r="AB72" s="154"/>
      <c r="AC72" s="154"/>
      <c r="AD72" s="154"/>
      <c r="AE72" s="154"/>
      <c r="AF72" s="154"/>
      <c r="AG72" s="154"/>
      <c r="AH72" s="154"/>
      <c r="AI72" s="154"/>
      <c r="AJ72" s="154"/>
      <c r="AK72" s="154"/>
      <c r="AL72" s="154"/>
      <c r="AM72" s="154"/>
      <c r="AN72" s="154"/>
      <c r="AO72" s="154"/>
      <c r="AP72" s="154"/>
      <c r="AQ72" s="154"/>
    </row>
    <row r="73" spans="2:43" s="14" customFormat="1" ht="13.5">
      <c r="B73" s="14" t="s">
        <v>156</v>
      </c>
      <c r="I73" s="58">
        <f>SUM(I67:I72)</f>
        <v>0</v>
      </c>
      <c r="J73" s="58">
        <f>SUM(J67:J72)</f>
        <v>0</v>
      </c>
      <c r="K73" s="58">
        <f>SUM(K67:K72)</f>
        <v>0</v>
      </c>
      <c r="L73" s="58">
        <f aca="true" t="shared" si="10" ref="L73:Q73">SUM(L67:L72)</f>
        <v>34792</v>
      </c>
      <c r="M73" s="58">
        <f t="shared" si="10"/>
        <v>40390.13310155512</v>
      </c>
      <c r="N73" s="58">
        <f t="shared" si="10"/>
        <v>46362.735945610235</v>
      </c>
      <c r="O73" s="58">
        <f t="shared" si="10"/>
        <v>52728.56893379036</v>
      </c>
      <c r="P73" s="58">
        <f t="shared" si="10"/>
        <v>59507.30088655172</v>
      </c>
      <c r="Q73" s="58">
        <f t="shared" si="10"/>
        <v>66719.5628221234</v>
      </c>
      <c r="S73" s="1"/>
      <c r="T73" s="1"/>
      <c r="U73" s="1"/>
      <c r="V73" s="1"/>
      <c r="W73" s="1"/>
      <c r="X73" s="1"/>
      <c r="Y73" s="1"/>
      <c r="Z73" s="1"/>
      <c r="AA73" s="1"/>
      <c r="AB73" s="1"/>
      <c r="AC73" s="1"/>
      <c r="AD73" s="1"/>
      <c r="AE73" s="1"/>
      <c r="AF73" s="1"/>
      <c r="AG73" s="1"/>
      <c r="AH73" s="1"/>
      <c r="AI73" s="1"/>
      <c r="AJ73" s="1"/>
      <c r="AK73" s="1"/>
      <c r="AL73" s="1"/>
      <c r="AM73" s="1"/>
      <c r="AN73" s="1"/>
      <c r="AO73" s="1"/>
      <c r="AP73" s="1"/>
      <c r="AQ73" s="1"/>
    </row>
    <row r="74" spans="9:43" s="14" customFormat="1" ht="13.5">
      <c r="I74" s="23"/>
      <c r="J74" s="23"/>
      <c r="K74" s="23"/>
      <c r="L74" s="16"/>
      <c r="M74" s="16"/>
      <c r="S74" s="1"/>
      <c r="T74" s="1"/>
      <c r="U74" s="1"/>
      <c r="V74" s="1"/>
      <c r="W74" s="1"/>
      <c r="X74" s="1"/>
      <c r="Y74" s="1"/>
      <c r="Z74" s="1"/>
      <c r="AA74" s="1"/>
      <c r="AB74" s="1"/>
      <c r="AC74" s="1"/>
      <c r="AD74" s="1"/>
      <c r="AE74" s="1"/>
      <c r="AF74" s="1"/>
      <c r="AG74" s="1"/>
      <c r="AH74" s="1"/>
      <c r="AI74" s="1"/>
      <c r="AJ74" s="1"/>
      <c r="AK74" s="1"/>
      <c r="AL74" s="1"/>
      <c r="AM74" s="1"/>
      <c r="AN74" s="1"/>
      <c r="AO74" s="1"/>
      <c r="AP74" s="1"/>
      <c r="AQ74" s="1"/>
    </row>
    <row r="75" spans="2:43" s="14" customFormat="1" ht="14.25" thickBot="1">
      <c r="B75" s="14" t="s">
        <v>157</v>
      </c>
      <c r="I75" s="61">
        <f>+I73+I64</f>
        <v>0</v>
      </c>
      <c r="J75" s="61">
        <f>+J73+J64</f>
        <v>0</v>
      </c>
      <c r="K75" s="61">
        <f>+K73+K64</f>
        <v>0</v>
      </c>
      <c r="L75" s="61">
        <f aca="true" t="shared" si="11" ref="L75:Q75">+L73+L64</f>
        <v>84145</v>
      </c>
      <c r="M75" s="61">
        <f t="shared" si="11"/>
        <v>90126.98310155512</v>
      </c>
      <c r="N75" s="61">
        <f t="shared" si="11"/>
        <v>96502.62844561023</v>
      </c>
      <c r="O75" s="61">
        <f t="shared" si="11"/>
        <v>103291.65605879037</v>
      </c>
      <c r="P75" s="61">
        <f t="shared" si="11"/>
        <v>110514.74236780172</v>
      </c>
      <c r="Q75" s="61">
        <f t="shared" si="11"/>
        <v>118193.5763774359</v>
      </c>
      <c r="S75" s="1"/>
      <c r="T75" s="1"/>
      <c r="U75" s="1"/>
      <c r="V75" s="1"/>
      <c r="W75" s="1"/>
      <c r="X75" s="1"/>
      <c r="Y75" s="1"/>
      <c r="Z75" s="1"/>
      <c r="AA75" s="1"/>
      <c r="AB75" s="1"/>
      <c r="AC75" s="1"/>
      <c r="AD75" s="1"/>
      <c r="AE75" s="1"/>
      <c r="AF75" s="1"/>
      <c r="AG75" s="1"/>
      <c r="AH75" s="1"/>
      <c r="AI75" s="1"/>
      <c r="AJ75" s="1"/>
      <c r="AK75" s="1"/>
      <c r="AL75" s="1"/>
      <c r="AM75" s="1"/>
      <c r="AN75" s="1"/>
      <c r="AO75" s="1"/>
      <c r="AP75" s="1"/>
      <c r="AQ75" s="1"/>
    </row>
    <row r="76" spans="19:43" s="14" customFormat="1" ht="14.25" thickTop="1">
      <c r="S76" s="1"/>
      <c r="T76" s="1"/>
      <c r="U76" s="1"/>
      <c r="V76" s="1"/>
      <c r="W76" s="1"/>
      <c r="X76" s="1"/>
      <c r="Y76" s="1"/>
      <c r="Z76" s="1"/>
      <c r="AA76" s="1"/>
      <c r="AB76" s="1"/>
      <c r="AC76" s="1"/>
      <c r="AD76" s="1"/>
      <c r="AE76" s="1"/>
      <c r="AF76" s="1"/>
      <c r="AG76" s="1"/>
      <c r="AH76" s="1"/>
      <c r="AI76" s="1"/>
      <c r="AJ76" s="1"/>
      <c r="AK76" s="1"/>
      <c r="AL76" s="1"/>
      <c r="AM76" s="1"/>
      <c r="AN76" s="1"/>
      <c r="AO76" s="1"/>
      <c r="AP76" s="1"/>
      <c r="AQ76" s="1"/>
    </row>
    <row r="77" spans="9:17" s="107" customFormat="1" ht="13.5">
      <c r="I77" s="107">
        <f aca="true" t="shared" si="12" ref="I77:Q77">IF(ROUND(I40-I75,3)=0,"",I40-I75)</f>
      </c>
      <c r="J77" s="107">
        <f t="shared" si="12"/>
      </c>
      <c r="K77" s="107">
        <f t="shared" si="12"/>
      </c>
      <c r="L77" s="14">
        <f t="shared" si="12"/>
      </c>
      <c r="M77" s="14">
        <f t="shared" si="12"/>
      </c>
      <c r="N77" s="14">
        <f t="shared" si="12"/>
      </c>
      <c r="O77" s="14">
        <f t="shared" si="12"/>
      </c>
      <c r="P77" s="14">
        <f t="shared" si="12"/>
      </c>
      <c r="Q77" s="14">
        <f t="shared" si="12"/>
      </c>
    </row>
    <row r="78" spans="19:43" s="14" customFormat="1" ht="13.5" customHeight="1">
      <c r="S78" s="1"/>
      <c r="T78" s="1"/>
      <c r="U78" s="1"/>
      <c r="V78" s="1"/>
      <c r="W78" s="1"/>
      <c r="X78" s="1"/>
      <c r="Y78" s="1"/>
      <c r="Z78" s="1"/>
      <c r="AA78" s="1"/>
      <c r="AB78" s="1"/>
      <c r="AC78" s="1"/>
      <c r="AD78" s="1"/>
      <c r="AE78" s="1"/>
      <c r="AF78" s="1"/>
      <c r="AG78" s="1"/>
      <c r="AH78" s="1"/>
      <c r="AI78" s="1"/>
      <c r="AJ78" s="1"/>
      <c r="AK78" s="1"/>
      <c r="AL78" s="1"/>
      <c r="AM78" s="1"/>
      <c r="AN78" s="1"/>
      <c r="AO78" s="1"/>
      <c r="AP78" s="1"/>
      <c r="AQ78" s="1"/>
    </row>
    <row r="79" spans="1:43" s="14" customFormat="1" ht="15.75" customHeight="1" thickBot="1">
      <c r="A79" s="123" t="s">
        <v>158</v>
      </c>
      <c r="B79" s="15"/>
      <c r="C79" s="15"/>
      <c r="D79" s="15"/>
      <c r="E79" s="15"/>
      <c r="F79" s="15"/>
      <c r="G79" s="15"/>
      <c r="H79" s="15"/>
      <c r="I79" s="15"/>
      <c r="J79" s="15"/>
      <c r="K79" s="15"/>
      <c r="L79" s="15"/>
      <c r="M79" s="15"/>
      <c r="N79" s="15"/>
      <c r="O79" s="15"/>
      <c r="P79" s="15"/>
      <c r="Q79" s="15"/>
      <c r="R79" s="15"/>
      <c r="S79" s="1"/>
      <c r="T79" s="1"/>
      <c r="U79" s="1"/>
      <c r="V79" s="1"/>
      <c r="W79" s="1"/>
      <c r="X79" s="1"/>
      <c r="Y79" s="1"/>
      <c r="Z79" s="1"/>
      <c r="AA79" s="1"/>
      <c r="AB79" s="1"/>
      <c r="AC79" s="1"/>
      <c r="AD79" s="1"/>
      <c r="AE79" s="1"/>
      <c r="AF79" s="1"/>
      <c r="AG79" s="1"/>
      <c r="AH79" s="1"/>
      <c r="AI79" s="1"/>
      <c r="AJ79" s="1"/>
      <c r="AK79" s="1"/>
      <c r="AL79" s="1"/>
      <c r="AM79" s="1"/>
      <c r="AN79" s="1"/>
      <c r="AO79" s="1"/>
      <c r="AP79" s="1"/>
      <c r="AQ79" s="1"/>
    </row>
    <row r="80" spans="11:43" s="14" customFormat="1" ht="13.5">
      <c r="K80" s="103"/>
      <c r="L80" s="103"/>
      <c r="S80" s="1"/>
      <c r="T80" s="1"/>
      <c r="U80" s="1"/>
      <c r="V80" s="1"/>
      <c r="W80" s="1"/>
      <c r="X80" s="1"/>
      <c r="Y80" s="1"/>
      <c r="Z80" s="1"/>
      <c r="AA80" s="1"/>
      <c r="AB80" s="1"/>
      <c r="AC80" s="1"/>
      <c r="AD80" s="1"/>
      <c r="AE80" s="1"/>
      <c r="AF80" s="1"/>
      <c r="AG80" s="1"/>
      <c r="AH80" s="1"/>
      <c r="AI80" s="1"/>
      <c r="AJ80" s="1"/>
      <c r="AK80" s="1"/>
      <c r="AL80" s="1"/>
      <c r="AM80" s="1"/>
      <c r="AN80" s="1"/>
      <c r="AO80" s="1"/>
      <c r="AP80" s="1"/>
      <c r="AQ80" s="1"/>
    </row>
    <row r="81" spans="9:43" s="14" customFormat="1" ht="15">
      <c r="I81" s="194"/>
      <c r="J81" s="194" t="str">
        <f>J9</f>
        <v>Pre-Implementation</v>
      </c>
      <c r="K81" s="194"/>
      <c r="L81" s="145"/>
      <c r="M81" s="143" t="str">
        <f>+M9</f>
        <v>Post-Implementation</v>
      </c>
      <c r="N81" s="105"/>
      <c r="O81" s="105"/>
      <c r="P81" s="105"/>
      <c r="Q81" s="105"/>
      <c r="S81" s="1"/>
      <c r="T81" s="1"/>
      <c r="U81" s="1"/>
      <c r="V81" s="1"/>
      <c r="W81" s="1"/>
      <c r="X81" s="1"/>
      <c r="Y81" s="1"/>
      <c r="Z81" s="1"/>
      <c r="AA81" s="1"/>
      <c r="AB81" s="1"/>
      <c r="AC81" s="1"/>
      <c r="AD81" s="1"/>
      <c r="AE81" s="1"/>
      <c r="AF81" s="1"/>
      <c r="AG81" s="1"/>
      <c r="AH81" s="1"/>
      <c r="AI81" s="1"/>
      <c r="AJ81" s="1"/>
      <c r="AK81" s="1"/>
      <c r="AL81" s="1"/>
      <c r="AM81" s="1"/>
      <c r="AN81" s="1"/>
      <c r="AO81" s="1"/>
      <c r="AP81" s="1"/>
      <c r="AQ81" s="1"/>
    </row>
    <row r="82" spans="8:43" s="197" customFormat="1" ht="14.25" thickBot="1">
      <c r="H82" s="14"/>
      <c r="I82" s="142">
        <f>I10</f>
        <v>33784.25</v>
      </c>
      <c r="J82" s="142">
        <f>J10</f>
        <v>34149.5</v>
      </c>
      <c r="K82" s="142">
        <f>K10</f>
        <v>34514.75</v>
      </c>
      <c r="L82" s="142">
        <f>L10</f>
        <v>34880</v>
      </c>
      <c r="M82" s="142">
        <f>+M10</f>
        <v>35245.25</v>
      </c>
      <c r="N82" s="142">
        <f>+N10</f>
        <v>35610.5</v>
      </c>
      <c r="O82" s="142">
        <f>+O10</f>
        <v>35975.75</v>
      </c>
      <c r="P82" s="142">
        <f>+P10</f>
        <v>36341</v>
      </c>
      <c r="Q82" s="142">
        <f>+Q10</f>
        <v>36706.25</v>
      </c>
      <c r="S82" s="92"/>
      <c r="T82" s="92"/>
      <c r="U82" s="92"/>
      <c r="V82" s="92"/>
      <c r="W82" s="92"/>
      <c r="X82" s="92"/>
      <c r="Y82" s="92"/>
      <c r="Z82" s="92"/>
      <c r="AA82" s="92"/>
      <c r="AB82" s="92"/>
      <c r="AC82" s="92"/>
      <c r="AD82" s="92"/>
      <c r="AE82" s="92"/>
      <c r="AF82" s="92"/>
      <c r="AG82" s="92"/>
      <c r="AH82" s="92"/>
      <c r="AI82" s="92"/>
      <c r="AJ82" s="92"/>
      <c r="AK82" s="92"/>
      <c r="AL82" s="92"/>
      <c r="AM82" s="92"/>
      <c r="AN82" s="92"/>
      <c r="AO82" s="92"/>
      <c r="AP82" s="92"/>
      <c r="AQ82" s="92"/>
    </row>
    <row r="83" spans="11:43" s="14" customFormat="1" ht="13.5">
      <c r="K83" s="16"/>
      <c r="L83" s="16"/>
      <c r="M83" s="16"/>
      <c r="N83" s="16"/>
      <c r="O83" s="16"/>
      <c r="P83" s="16"/>
      <c r="Q83" s="16"/>
      <c r="S83" s="1"/>
      <c r="T83" s="1"/>
      <c r="U83" s="1"/>
      <c r="V83" s="1"/>
      <c r="W83" s="1"/>
      <c r="X83" s="1"/>
      <c r="Y83" s="1"/>
      <c r="Z83" s="1"/>
      <c r="AA83" s="1"/>
      <c r="AB83" s="1"/>
      <c r="AC83" s="1"/>
      <c r="AD83" s="1"/>
      <c r="AE83" s="1"/>
      <c r="AF83" s="1"/>
      <c r="AG83" s="1"/>
      <c r="AH83" s="1"/>
      <c r="AI83" s="1"/>
      <c r="AJ83" s="1"/>
      <c r="AK83" s="1"/>
      <c r="AL83" s="1"/>
      <c r="AM83" s="1"/>
      <c r="AN83" s="1"/>
      <c r="AO83" s="1"/>
      <c r="AP83" s="1"/>
      <c r="AQ83" s="1"/>
    </row>
    <row r="84" spans="2:43" s="14" customFormat="1" ht="13.5">
      <c r="B84" s="14" t="str">
        <f>+Input!$D$19</f>
        <v>Sales Revenue</v>
      </c>
      <c r="I84" s="23">
        <f>+Input!$I$19</f>
        <v>0</v>
      </c>
      <c r="J84" s="23">
        <f>+Input!$K$19</f>
        <v>0</v>
      </c>
      <c r="K84" s="23">
        <f>+Input!$M$19</f>
        <v>0</v>
      </c>
      <c r="L84" s="23">
        <f>+Input!$O$19</f>
        <v>111211</v>
      </c>
      <c r="M84" s="23">
        <f>L84*(1+Input!O90)</f>
        <v>116771.55</v>
      </c>
      <c r="N84" s="23">
        <f>M84*(1+Input!P90)</f>
        <v>122610.1275</v>
      </c>
      <c r="O84" s="23">
        <f>N84*(1+Input!Q90)</f>
        <v>128740.63387500001</v>
      </c>
      <c r="P84" s="23">
        <f>O84*(1+Input!R90)</f>
        <v>135177.66556875003</v>
      </c>
      <c r="Q84" s="23">
        <f>P84*(1+Input!S90)</f>
        <v>141936.54884718754</v>
      </c>
      <c r="R84" s="14">
        <f>Q84*Input!T90</f>
        <v>0</v>
      </c>
      <c r="S84" s="1"/>
      <c r="T84" s="1"/>
      <c r="U84" s="1"/>
      <c r="V84" s="1"/>
      <c r="W84" s="1"/>
      <c r="X84" s="1"/>
      <c r="Y84" s="1"/>
      <c r="Z84" s="1"/>
      <c r="AA84" s="1"/>
      <c r="AB84" s="1"/>
      <c r="AC84" s="1"/>
      <c r="AD84" s="1"/>
      <c r="AE84" s="1"/>
      <c r="AF84" s="1"/>
      <c r="AG84" s="1"/>
      <c r="AH84" s="1"/>
      <c r="AI84" s="1"/>
      <c r="AJ84" s="1"/>
      <c r="AK84" s="1"/>
      <c r="AL84" s="1"/>
      <c r="AM84" s="1"/>
      <c r="AN84" s="1"/>
      <c r="AO84" s="1"/>
      <c r="AP84" s="1"/>
      <c r="AQ84" s="1"/>
    </row>
    <row r="85" spans="2:43" s="14" customFormat="1" ht="13.5">
      <c r="B85" s="14" t="str">
        <f>+Input!$D$20</f>
        <v>Net Sales Revenue</v>
      </c>
      <c r="I85" s="14">
        <f>SUM(I84:I84)</f>
        <v>0</v>
      </c>
      <c r="J85" s="14">
        <f>SUM(J84:J84)</f>
        <v>0</v>
      </c>
      <c r="K85" s="14">
        <f>SUM(K84:K84)</f>
        <v>0</v>
      </c>
      <c r="L85" s="14">
        <f aca="true" t="shared" si="13" ref="L85:Q85">SUM(L84:L84)</f>
        <v>111211</v>
      </c>
      <c r="M85" s="14">
        <f t="shared" si="13"/>
        <v>116771.55</v>
      </c>
      <c r="N85" s="14">
        <f t="shared" si="13"/>
        <v>122610.1275</v>
      </c>
      <c r="O85" s="14">
        <f t="shared" si="13"/>
        <v>128740.63387500001</v>
      </c>
      <c r="P85" s="14">
        <f t="shared" si="13"/>
        <v>135177.66556875003</v>
      </c>
      <c r="Q85" s="14">
        <f t="shared" si="13"/>
        <v>141936.54884718754</v>
      </c>
      <c r="S85" s="1"/>
      <c r="T85" s="1"/>
      <c r="U85" s="1"/>
      <c r="V85" s="1"/>
      <c r="W85" s="1"/>
      <c r="X85" s="1"/>
      <c r="Y85" s="1"/>
      <c r="Z85" s="1"/>
      <c r="AA85" s="1"/>
      <c r="AB85" s="1"/>
      <c r="AC85" s="1"/>
      <c r="AD85" s="1"/>
      <c r="AE85" s="1"/>
      <c r="AF85" s="1"/>
      <c r="AG85" s="1"/>
      <c r="AH85" s="1"/>
      <c r="AI85" s="1"/>
      <c r="AJ85" s="1"/>
      <c r="AK85" s="1"/>
      <c r="AL85" s="1"/>
      <c r="AM85" s="1"/>
      <c r="AN85" s="1"/>
      <c r="AO85" s="1"/>
      <c r="AP85" s="1"/>
      <c r="AQ85" s="1"/>
    </row>
    <row r="86" spans="2:43" s="14" customFormat="1" ht="13.5">
      <c r="B86" s="14" t="str">
        <f>+Input!$D$21</f>
        <v>Cost of Sales</v>
      </c>
      <c r="G86" s="127"/>
      <c r="I86" s="23">
        <f>+Input!$I$21</f>
        <v>0</v>
      </c>
      <c r="J86" s="23">
        <f>+Input!$K$21</f>
        <v>0</v>
      </c>
      <c r="K86" s="23">
        <f>+Input!$M$21</f>
        <v>0</v>
      </c>
      <c r="L86" s="23">
        <f>+Input!$O$21</f>
        <v>60001</v>
      </c>
      <c r="M86" s="23">
        <f>+M85*Input!O$101</f>
        <v>63001.05</v>
      </c>
      <c r="N86" s="23">
        <f>+N85*Input!P$101</f>
        <v>66151.10250000001</v>
      </c>
      <c r="O86" s="23">
        <f>+O85*Input!Q$101</f>
        <v>69458.657625</v>
      </c>
      <c r="P86" s="23">
        <f>+P85*Input!R$101</f>
        <v>72931.59050625002</v>
      </c>
      <c r="Q86" s="23">
        <f>+Q85*Input!S$101</f>
        <v>76578.17003156252</v>
      </c>
      <c r="S86" s="1"/>
      <c r="T86" s="1"/>
      <c r="U86" s="1"/>
      <c r="V86" s="1"/>
      <c r="W86" s="1"/>
      <c r="X86" s="1"/>
      <c r="Y86" s="1"/>
      <c r="Z86" s="1"/>
      <c r="AA86" s="1"/>
      <c r="AB86" s="1"/>
      <c r="AC86" s="1"/>
      <c r="AD86" s="1"/>
      <c r="AE86" s="1"/>
      <c r="AF86" s="1"/>
      <c r="AG86" s="1"/>
      <c r="AH86" s="1"/>
      <c r="AI86" s="1"/>
      <c r="AJ86" s="1"/>
      <c r="AK86" s="1"/>
      <c r="AL86" s="1"/>
      <c r="AM86" s="1"/>
      <c r="AN86" s="1"/>
      <c r="AO86" s="1"/>
      <c r="AP86" s="1"/>
      <c r="AQ86" s="1"/>
    </row>
    <row r="87" spans="2:43" s="14" customFormat="1" ht="13.5">
      <c r="B87" s="14" t="s">
        <v>159</v>
      </c>
      <c r="G87" s="128"/>
      <c r="I87" s="14">
        <f>+I85-I86</f>
        <v>0</v>
      </c>
      <c r="J87" s="14">
        <f>+J85-J86</f>
        <v>0</v>
      </c>
      <c r="K87" s="14">
        <f>+K85-K86</f>
        <v>0</v>
      </c>
      <c r="L87" s="14">
        <f aca="true" t="shared" si="14" ref="L87:Q87">+L85-L86</f>
        <v>51210</v>
      </c>
      <c r="M87" s="14">
        <f t="shared" si="14"/>
        <v>53770.5</v>
      </c>
      <c r="N87" s="14">
        <f t="shared" si="14"/>
        <v>56459.024999999994</v>
      </c>
      <c r="O87" s="14">
        <f t="shared" si="14"/>
        <v>59281.97625000001</v>
      </c>
      <c r="P87" s="14">
        <f t="shared" si="14"/>
        <v>62246.07506250001</v>
      </c>
      <c r="Q87" s="14">
        <f t="shared" si="14"/>
        <v>65358.37881562502</v>
      </c>
      <c r="S87" s="1"/>
      <c r="T87" s="1"/>
      <c r="U87" s="1"/>
      <c r="V87" s="1"/>
      <c r="W87" s="1"/>
      <c r="X87" s="1"/>
      <c r="Y87" s="1"/>
      <c r="Z87" s="1"/>
      <c r="AA87" s="1"/>
      <c r="AB87" s="1"/>
      <c r="AC87" s="1"/>
      <c r="AD87" s="1"/>
      <c r="AE87" s="1"/>
      <c r="AF87" s="1"/>
      <c r="AG87" s="1"/>
      <c r="AH87" s="1"/>
      <c r="AI87" s="1"/>
      <c r="AJ87" s="1"/>
      <c r="AK87" s="1"/>
      <c r="AL87" s="1"/>
      <c r="AM87" s="1"/>
      <c r="AN87" s="1"/>
      <c r="AO87" s="1"/>
      <c r="AP87" s="1"/>
      <c r="AQ87" s="1"/>
    </row>
    <row r="88" spans="19:43" s="14" customFormat="1" ht="13.5">
      <c r="S88" s="1"/>
      <c r="T88" s="1"/>
      <c r="U88" s="1"/>
      <c r="V88" s="1"/>
      <c r="W88" s="1"/>
      <c r="X88" s="1"/>
      <c r="Y88" s="1"/>
      <c r="Z88" s="1"/>
      <c r="AA88" s="1"/>
      <c r="AB88" s="1"/>
      <c r="AC88" s="1"/>
      <c r="AD88" s="1"/>
      <c r="AE88" s="1"/>
      <c r="AF88" s="1"/>
      <c r="AG88" s="1"/>
      <c r="AH88" s="1"/>
      <c r="AI88" s="1"/>
      <c r="AJ88" s="1"/>
      <c r="AK88" s="1"/>
      <c r="AL88" s="1"/>
      <c r="AM88" s="1"/>
      <c r="AN88" s="1"/>
      <c r="AO88" s="1"/>
      <c r="AP88" s="1"/>
      <c r="AQ88" s="1"/>
    </row>
    <row r="89" spans="2:17" ht="13.5">
      <c r="B89" s="33" t="s">
        <v>76</v>
      </c>
      <c r="J89" s="1"/>
      <c r="K89" s="76" t="str">
        <f aca="true" t="shared" si="15" ref="K89:Q89">IF(K85=0,"N/A",K87/K85)</f>
        <v>N/A</v>
      </c>
      <c r="L89" s="76">
        <f t="shared" si="15"/>
        <v>0.46047603204718957</v>
      </c>
      <c r="M89" s="76">
        <f t="shared" si="15"/>
        <v>0.46047603204718957</v>
      </c>
      <c r="N89" s="76">
        <f t="shared" si="15"/>
        <v>0.4604760320471895</v>
      </c>
      <c r="O89" s="76">
        <f t="shared" si="15"/>
        <v>0.46047603204718957</v>
      </c>
      <c r="P89" s="76">
        <f t="shared" si="15"/>
        <v>0.4604760320471895</v>
      </c>
      <c r="Q89" s="76">
        <f t="shared" si="15"/>
        <v>0.4604760320471896</v>
      </c>
    </row>
    <row r="90" s="1" customFormat="1" ht="13.5"/>
    <row r="91" spans="2:43" s="14" customFormat="1" ht="13.5">
      <c r="B91" s="14" t="s">
        <v>160</v>
      </c>
      <c r="K91" s="16"/>
      <c r="L91" s="16"/>
      <c r="M91" s="16"/>
      <c r="N91" s="16"/>
      <c r="O91" s="16"/>
      <c r="P91" s="16"/>
      <c r="Q91" s="16"/>
      <c r="S91" s="1"/>
      <c r="T91" s="1"/>
      <c r="U91" s="1"/>
      <c r="V91" s="1"/>
      <c r="W91" s="1"/>
      <c r="X91" s="1"/>
      <c r="Y91" s="1"/>
      <c r="Z91" s="1"/>
      <c r="AA91" s="1"/>
      <c r="AB91" s="1"/>
      <c r="AC91" s="1"/>
      <c r="AD91" s="1"/>
      <c r="AE91" s="1"/>
      <c r="AF91" s="1"/>
      <c r="AG91" s="1"/>
      <c r="AH91" s="1"/>
      <c r="AI91" s="1"/>
      <c r="AJ91" s="1"/>
      <c r="AK91" s="1"/>
      <c r="AL91" s="1"/>
      <c r="AM91" s="1"/>
      <c r="AN91" s="1"/>
      <c r="AO91" s="1"/>
      <c r="AP91" s="1"/>
      <c r="AQ91" s="1"/>
    </row>
    <row r="92" spans="3:43" s="152" customFormat="1" ht="13.5">
      <c r="C92" s="157" t="str">
        <f>Input!C9</f>
        <v>Project Costs-Expensed</v>
      </c>
      <c r="D92" s="157"/>
      <c r="E92" s="157"/>
      <c r="K92" s="63"/>
      <c r="L92" s="63"/>
      <c r="M92" s="63">
        <f>Input!L9</f>
        <v>1</v>
      </c>
      <c r="N92" s="63">
        <f>Input!M9</f>
        <v>1</v>
      </c>
      <c r="O92" s="63">
        <f>Input!N9</f>
        <v>1</v>
      </c>
      <c r="P92" s="63">
        <f>Input!O9</f>
        <v>1</v>
      </c>
      <c r="Q92" s="63">
        <f>Input!P9</f>
        <v>1</v>
      </c>
      <c r="R92" s="63">
        <f>Input!Q9</f>
        <v>0</v>
      </c>
      <c r="S92" s="154"/>
      <c r="T92" s="154"/>
      <c r="U92" s="154"/>
      <c r="V92" s="154"/>
      <c r="W92" s="154"/>
      <c r="X92" s="154"/>
      <c r="Y92" s="154"/>
      <c r="Z92" s="154"/>
      <c r="AA92" s="154"/>
      <c r="AB92" s="154"/>
      <c r="AC92" s="154"/>
      <c r="AD92" s="154"/>
      <c r="AE92" s="154"/>
      <c r="AF92" s="154"/>
      <c r="AG92" s="154"/>
      <c r="AH92" s="154"/>
      <c r="AI92" s="154"/>
      <c r="AJ92" s="154"/>
      <c r="AK92" s="154"/>
      <c r="AL92" s="154"/>
      <c r="AM92" s="154"/>
      <c r="AN92" s="154"/>
      <c r="AO92" s="154"/>
      <c r="AP92" s="154"/>
      <c r="AQ92" s="154"/>
    </row>
    <row r="93" spans="3:43" s="152" customFormat="1" ht="13.5">
      <c r="C93" s="157" t="s">
        <v>16</v>
      </c>
      <c r="D93" s="157"/>
      <c r="E93" s="157"/>
      <c r="I93" s="152">
        <f>Input!I23</f>
        <v>0</v>
      </c>
      <c r="J93" s="152">
        <f>Input!K23</f>
        <v>0</v>
      </c>
      <c r="K93" s="152">
        <f>Input!M23</f>
        <v>0</v>
      </c>
      <c r="L93" s="152">
        <f>Input!O23</f>
        <v>0</v>
      </c>
      <c r="M93" s="63">
        <f>L93*(1+Input!O92)</f>
        <v>0</v>
      </c>
      <c r="N93" s="63">
        <f>M93*(1+Input!P92)</f>
        <v>0</v>
      </c>
      <c r="O93" s="63">
        <f>N93*(1+Input!Q92)</f>
        <v>0</v>
      </c>
      <c r="P93" s="63">
        <f>O93*(1+Input!R92)</f>
        <v>0</v>
      </c>
      <c r="Q93" s="63">
        <f>P93*(1+Input!S92)</f>
        <v>0</v>
      </c>
      <c r="S93" s="154"/>
      <c r="T93" s="154"/>
      <c r="U93" s="154"/>
      <c r="V93" s="154"/>
      <c r="W93" s="154"/>
      <c r="X93" s="154"/>
      <c r="Y93" s="154"/>
      <c r="Z93" s="154"/>
      <c r="AA93" s="154"/>
      <c r="AB93" s="154"/>
      <c r="AC93" s="154"/>
      <c r="AD93" s="154"/>
      <c r="AE93" s="154"/>
      <c r="AF93" s="154"/>
      <c r="AG93" s="154"/>
      <c r="AH93" s="154"/>
      <c r="AI93" s="154"/>
      <c r="AJ93" s="154"/>
      <c r="AK93" s="154"/>
      <c r="AL93" s="154"/>
      <c r="AM93" s="154"/>
      <c r="AN93" s="154"/>
      <c r="AO93" s="154"/>
      <c r="AP93" s="154"/>
      <c r="AQ93" s="154"/>
    </row>
    <row r="94" spans="3:43" s="152" customFormat="1" ht="13.5">
      <c r="C94" s="157" t="str">
        <f>Input!D28</f>
        <v>Other Controllable Expenses</v>
      </c>
      <c r="D94" s="157"/>
      <c r="E94" s="157"/>
      <c r="L94" s="152">
        <f>Input!O28</f>
        <v>250</v>
      </c>
      <c r="M94" s="63">
        <f>L94</f>
        <v>250</v>
      </c>
      <c r="N94" s="63">
        <f>M94</f>
        <v>250</v>
      </c>
      <c r="O94" s="63">
        <f>N94</f>
        <v>250</v>
      </c>
      <c r="P94" s="63">
        <f>O94</f>
        <v>250</v>
      </c>
      <c r="Q94" s="63">
        <f>P94</f>
        <v>250</v>
      </c>
      <c r="S94" s="154"/>
      <c r="T94" s="154"/>
      <c r="U94" s="154"/>
      <c r="V94" s="154"/>
      <c r="W94" s="154"/>
      <c r="X94" s="154"/>
      <c r="Y94" s="154"/>
      <c r="Z94" s="154"/>
      <c r="AA94" s="154"/>
      <c r="AB94" s="154"/>
      <c r="AC94" s="154"/>
      <c r="AD94" s="154"/>
      <c r="AE94" s="154"/>
      <c r="AF94" s="154"/>
      <c r="AG94" s="154"/>
      <c r="AH94" s="154"/>
      <c r="AI94" s="154"/>
      <c r="AJ94" s="154"/>
      <c r="AK94" s="154"/>
      <c r="AL94" s="154"/>
      <c r="AM94" s="154"/>
      <c r="AN94" s="154"/>
      <c r="AO94" s="154"/>
      <c r="AP94" s="154"/>
      <c r="AQ94" s="154"/>
    </row>
    <row r="95" spans="3:43" s="14" customFormat="1" ht="13.5">
      <c r="C95" s="29" t="str">
        <f>Input!D93</f>
        <v>Selling Expenses</v>
      </c>
      <c r="D95" s="29"/>
      <c r="E95" s="29"/>
      <c r="I95" s="14">
        <f>Input!I22</f>
        <v>0</v>
      </c>
      <c r="J95" s="14">
        <f>Input!K22</f>
        <v>0</v>
      </c>
      <c r="K95" s="14">
        <f>Input!M22</f>
        <v>0</v>
      </c>
      <c r="L95" s="14">
        <f>Input!O22</f>
        <v>0</v>
      </c>
      <c r="M95" s="16">
        <f>(L95*(1+Input!O93))*(1+Input!O90)</f>
        <v>0</v>
      </c>
      <c r="N95" s="16">
        <f>(M95*(1+Input!P93))*(1+Input!P90)</f>
        <v>0</v>
      </c>
      <c r="O95" s="16">
        <f>(N95*(1+Input!Q93))*(1+Input!Q90)</f>
        <v>0</v>
      </c>
      <c r="P95" s="16">
        <f>(O95*(1+Input!R93))*(1+Input!R90)</f>
        <v>0</v>
      </c>
      <c r="Q95" s="16">
        <f>(P95*(1+Input!S93))*(1+Input!S90)</f>
        <v>0</v>
      </c>
      <c r="S95" s="1"/>
      <c r="T95" s="1"/>
      <c r="U95" s="1"/>
      <c r="V95" s="1"/>
      <c r="W95" s="1"/>
      <c r="X95" s="1"/>
      <c r="Y95" s="1"/>
      <c r="Z95" s="1"/>
      <c r="AA95" s="1"/>
      <c r="AB95" s="1"/>
      <c r="AC95" s="1"/>
      <c r="AD95" s="1"/>
      <c r="AE95" s="1"/>
      <c r="AF95" s="1"/>
      <c r="AG95" s="1"/>
      <c r="AH95" s="1"/>
      <c r="AI95" s="1"/>
      <c r="AJ95" s="1"/>
      <c r="AK95" s="1"/>
      <c r="AL95" s="1"/>
      <c r="AM95" s="1"/>
      <c r="AN95" s="1"/>
      <c r="AO95" s="1"/>
      <c r="AP95" s="1"/>
      <c r="AQ95" s="1"/>
    </row>
    <row r="96" spans="3:43" s="14" customFormat="1" ht="13.5">
      <c r="C96" s="29" t="s">
        <v>161</v>
      </c>
      <c r="D96" s="29"/>
      <c r="E96" s="29"/>
      <c r="I96" s="23">
        <f>Input!I24</f>
        <v>0</v>
      </c>
      <c r="J96" s="23">
        <f>Input!K24</f>
        <v>0</v>
      </c>
      <c r="K96" s="23">
        <f>Input!M24</f>
        <v>0</v>
      </c>
      <c r="L96" s="23">
        <f>Input!O24</f>
        <v>7518</v>
      </c>
      <c r="M96" s="23">
        <f>L96*(1+Input!O94)</f>
        <v>7518</v>
      </c>
      <c r="N96" s="23">
        <f>M96*(1+Input!P94)</f>
        <v>7518</v>
      </c>
      <c r="O96" s="23">
        <f>N96*(1+Input!Q94)</f>
        <v>7518</v>
      </c>
      <c r="P96" s="23">
        <f>O96*(1+Input!R94)</f>
        <v>7518</v>
      </c>
      <c r="Q96" s="23">
        <f>P96*(1+Input!S94)</f>
        <v>7518</v>
      </c>
      <c r="S96" s="1"/>
      <c r="T96" s="1"/>
      <c r="U96" s="1"/>
      <c r="V96" s="1"/>
      <c r="W96" s="1"/>
      <c r="X96" s="1"/>
      <c r="Y96" s="1"/>
      <c r="Z96" s="1"/>
      <c r="AA96" s="1"/>
      <c r="AB96" s="1"/>
      <c r="AC96" s="1"/>
      <c r="AD96" s="1"/>
      <c r="AE96" s="1"/>
      <c r="AF96" s="1"/>
      <c r="AG96" s="1"/>
      <c r="AH96" s="1"/>
      <c r="AI96" s="1"/>
      <c r="AJ96" s="1"/>
      <c r="AK96" s="1"/>
      <c r="AL96" s="1"/>
      <c r="AM96" s="1"/>
      <c r="AN96" s="1"/>
      <c r="AO96" s="1"/>
      <c r="AP96" s="1"/>
      <c r="AQ96" s="1"/>
    </row>
    <row r="97" spans="3:43" s="14" customFormat="1" ht="13.5">
      <c r="C97" s="1"/>
      <c r="D97" s="14" t="str">
        <f>+Input!$D25</f>
        <v>Total Non-Sales Expenses</v>
      </c>
      <c r="I97" s="150">
        <f>SUM(I92:I96)</f>
        <v>0</v>
      </c>
      <c r="J97" s="150">
        <f>SUM(J92:J96)</f>
        <v>0</v>
      </c>
      <c r="K97" s="150">
        <f>SUM(K92:K96)</f>
        <v>0</v>
      </c>
      <c r="L97" s="23">
        <f aca="true" t="shared" si="16" ref="L97:Q97">SUM(L92:L96)</f>
        <v>7768</v>
      </c>
      <c r="M97" s="23">
        <f t="shared" si="16"/>
        <v>7769</v>
      </c>
      <c r="N97" s="23">
        <f t="shared" si="16"/>
        <v>7769</v>
      </c>
      <c r="O97" s="23">
        <f t="shared" si="16"/>
        <v>7769</v>
      </c>
      <c r="P97" s="23">
        <f t="shared" si="16"/>
        <v>7769</v>
      </c>
      <c r="Q97" s="23">
        <f t="shared" si="16"/>
        <v>7769</v>
      </c>
      <c r="R97" s="23" t="e">
        <f>R85*Input!#REF!</f>
        <v>#REF!</v>
      </c>
      <c r="S97" s="1"/>
      <c r="T97" s="1"/>
      <c r="U97" s="1"/>
      <c r="V97" s="1"/>
      <c r="W97" s="1"/>
      <c r="X97" s="1"/>
      <c r="Y97" s="1"/>
      <c r="Z97" s="1"/>
      <c r="AA97" s="1"/>
      <c r="AB97" s="1"/>
      <c r="AC97" s="1"/>
      <c r="AD97" s="1"/>
      <c r="AE97" s="1"/>
      <c r="AF97" s="1"/>
      <c r="AG97" s="1"/>
      <c r="AH97" s="1"/>
      <c r="AI97" s="1"/>
      <c r="AJ97" s="1"/>
      <c r="AK97" s="1"/>
      <c r="AL97" s="1"/>
      <c r="AM97" s="1"/>
      <c r="AN97" s="1"/>
      <c r="AO97" s="1"/>
      <c r="AP97" s="1"/>
      <c r="AQ97" s="1"/>
    </row>
    <row r="98" spans="2:43" s="14" customFormat="1" ht="13.5">
      <c r="B98" s="14" t="s">
        <v>162</v>
      </c>
      <c r="I98" s="14">
        <f>I87-I97</f>
        <v>0</v>
      </c>
      <c r="J98" s="14">
        <f>J87-J97</f>
        <v>0</v>
      </c>
      <c r="K98" s="14">
        <f>K87-K97</f>
        <v>0</v>
      </c>
      <c r="L98" s="14">
        <f aca="true" t="shared" si="17" ref="L98:R98">L87-L97</f>
        <v>43442</v>
      </c>
      <c r="M98" s="14">
        <f t="shared" si="17"/>
        <v>46001.5</v>
      </c>
      <c r="N98" s="14">
        <f t="shared" si="17"/>
        <v>48690.024999999994</v>
      </c>
      <c r="O98" s="14">
        <f t="shared" si="17"/>
        <v>51512.97625000001</v>
      </c>
      <c r="P98" s="14">
        <f t="shared" si="17"/>
        <v>54477.07506250001</v>
      </c>
      <c r="Q98" s="14">
        <f t="shared" si="17"/>
        <v>57589.37881562502</v>
      </c>
      <c r="R98" s="14" t="e">
        <f t="shared" si="17"/>
        <v>#REF!</v>
      </c>
      <c r="S98" s="1"/>
      <c r="T98" s="1"/>
      <c r="U98" s="1"/>
      <c r="V98" s="1"/>
      <c r="W98" s="1"/>
      <c r="X98" s="1"/>
      <c r="Y98" s="1"/>
      <c r="Z98" s="1"/>
      <c r="AA98" s="1"/>
      <c r="AB98" s="1"/>
      <c r="AC98" s="1"/>
      <c r="AD98" s="1"/>
      <c r="AE98" s="1"/>
      <c r="AF98" s="1"/>
      <c r="AG98" s="1"/>
      <c r="AH98" s="1"/>
      <c r="AI98" s="1"/>
      <c r="AJ98" s="1"/>
      <c r="AK98" s="1"/>
      <c r="AL98" s="1"/>
      <c r="AM98" s="1"/>
      <c r="AN98" s="1"/>
      <c r="AO98" s="1"/>
      <c r="AP98" s="1"/>
      <c r="AQ98" s="1"/>
    </row>
    <row r="99" spans="19:43" s="14" customFormat="1" ht="13.5">
      <c r="S99" s="1"/>
      <c r="T99" s="1"/>
      <c r="U99" s="1"/>
      <c r="V99" s="1"/>
      <c r="W99" s="1"/>
      <c r="X99" s="1"/>
      <c r="Y99" s="1"/>
      <c r="Z99" s="1"/>
      <c r="AA99" s="1"/>
      <c r="AB99" s="1"/>
      <c r="AC99" s="1"/>
      <c r="AD99" s="1"/>
      <c r="AE99" s="1"/>
      <c r="AF99" s="1"/>
      <c r="AG99" s="1"/>
      <c r="AH99" s="1"/>
      <c r="AI99" s="1"/>
      <c r="AJ99" s="1"/>
      <c r="AK99" s="1"/>
      <c r="AL99" s="1"/>
      <c r="AM99" s="1"/>
      <c r="AN99" s="1"/>
      <c r="AO99" s="1"/>
      <c r="AP99" s="1"/>
      <c r="AQ99" s="1"/>
    </row>
    <row r="100" spans="3:43" s="14" customFormat="1" ht="13.5" hidden="1">
      <c r="C100" s="14" t="s">
        <v>163</v>
      </c>
      <c r="L100" s="97">
        <f aca="true" t="shared" si="18" ref="L100:R100">L95/L85</f>
        <v>0</v>
      </c>
      <c r="M100" s="97">
        <f t="shared" si="18"/>
        <v>0</v>
      </c>
      <c r="N100" s="97">
        <f t="shared" si="18"/>
        <v>0</v>
      </c>
      <c r="O100" s="97">
        <f t="shared" si="18"/>
        <v>0</v>
      </c>
      <c r="P100" s="97">
        <f t="shared" si="18"/>
        <v>0</v>
      </c>
      <c r="Q100" s="97">
        <f t="shared" si="18"/>
        <v>0</v>
      </c>
      <c r="R100" s="97" t="e">
        <f t="shared" si="18"/>
        <v>#DIV/0!</v>
      </c>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row>
    <row r="101" spans="12:43" s="14" customFormat="1" ht="13.5" hidden="1">
      <c r="L101" s="97"/>
      <c r="M101" s="97"/>
      <c r="N101" s="97"/>
      <c r="O101" s="97"/>
      <c r="P101" s="97"/>
      <c r="Q101" s="97"/>
      <c r="R101" s="97"/>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row>
    <row r="102" spans="3:43" s="14" customFormat="1" ht="13.5">
      <c r="C102" s="14" t="str">
        <f>+Input!$D26</f>
        <v>Depreciation</v>
      </c>
      <c r="I102" s="14">
        <f>+Input!$I26</f>
        <v>0</v>
      </c>
      <c r="J102" s="14">
        <f>+Input!$K26</f>
        <v>0</v>
      </c>
      <c r="K102" s="14">
        <f>+Input!$M26</f>
        <v>0</v>
      </c>
      <c r="L102" s="14">
        <f>+Input!$O26</f>
        <v>4884</v>
      </c>
      <c r="M102" s="14">
        <f>Calculations!O29</f>
        <v>4878.897637795276</v>
      </c>
      <c r="N102" s="14">
        <f>Calculations!P29</f>
        <v>4878.897637795276</v>
      </c>
      <c r="O102" s="14">
        <f>Calculations!Q29</f>
        <v>4878.897637795276</v>
      </c>
      <c r="P102" s="14">
        <f>Calculations!R29</f>
        <v>4878.897637795276</v>
      </c>
      <c r="Q102" s="14">
        <f>Calculations!S29</f>
        <v>4878.897637795276</v>
      </c>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row>
    <row r="103" spans="3:43" s="14" customFormat="1" ht="13.5">
      <c r="C103" s="14" t="str">
        <f>+Input!$D27</f>
        <v>Amortization</v>
      </c>
      <c r="I103" s="23">
        <f>+Input!$I27</f>
        <v>0</v>
      </c>
      <c r="J103" s="23">
        <f>+Input!$K27</f>
        <v>0</v>
      </c>
      <c r="K103" s="23">
        <f>+Input!$M27</f>
        <v>0</v>
      </c>
      <c r="L103" s="23">
        <f>+Input!$O27</f>
        <v>0</v>
      </c>
      <c r="M103" s="23">
        <f>+Calculations!O$94</f>
        <v>0.275</v>
      </c>
      <c r="N103" s="23">
        <f>+Calculations!P$94</f>
        <v>0.5750000000000001</v>
      </c>
      <c r="O103" s="23">
        <f>+Calculations!Q$94</f>
        <v>0.6250000000000001</v>
      </c>
      <c r="P103" s="23">
        <f>+Calculations!R$94</f>
        <v>0.6250000000000001</v>
      </c>
      <c r="Q103" s="23">
        <f>+Calculations!S$94</f>
        <v>0.7250000000000002</v>
      </c>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row>
    <row r="104" spans="4:43" s="14" customFormat="1" ht="13.5">
      <c r="D104" s="14" t="s">
        <v>164</v>
      </c>
      <c r="I104" s="14">
        <f>SUM(I95:I96,I102:I103)</f>
        <v>0</v>
      </c>
      <c r="J104" s="14">
        <f>SUM(J95:J96,J102:J103)</f>
        <v>0</v>
      </c>
      <c r="K104" s="14">
        <f>SUM(K95:K96,K102:K103)</f>
        <v>0</v>
      </c>
      <c r="L104" s="14">
        <f aca="true" t="shared" si="19" ref="L104:Q104">SUM(L92:L96,L102:L103)</f>
        <v>12652</v>
      </c>
      <c r="M104" s="14">
        <f t="shared" si="19"/>
        <v>12648.172637795275</v>
      </c>
      <c r="N104" s="14">
        <f t="shared" si="19"/>
        <v>12648.472637795276</v>
      </c>
      <c r="O104" s="14">
        <f t="shared" si="19"/>
        <v>12648.522637795275</v>
      </c>
      <c r="P104" s="14">
        <f t="shared" si="19"/>
        <v>12648.522637795275</v>
      </c>
      <c r="Q104" s="14">
        <f t="shared" si="19"/>
        <v>12648.622637795275</v>
      </c>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row>
    <row r="105" spans="9:43" s="14" customFormat="1" ht="13.5">
      <c r="I105" s="23"/>
      <c r="J105" s="23"/>
      <c r="K105" s="23"/>
      <c r="L105" s="23"/>
      <c r="M105" s="23"/>
      <c r="N105" s="23"/>
      <c r="O105" s="23"/>
      <c r="P105" s="23"/>
      <c r="Q105" s="23"/>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row>
    <row r="106" spans="2:43" s="14" customFormat="1" ht="13.5">
      <c r="B106" s="14" t="s">
        <v>165</v>
      </c>
      <c r="I106" s="14">
        <f>+I87-I104</f>
        <v>0</v>
      </c>
      <c r="J106" s="14">
        <f>+J87-J104</f>
        <v>0</v>
      </c>
      <c r="K106" s="14">
        <f>+K87-K104</f>
        <v>0</v>
      </c>
      <c r="L106" s="14">
        <f aca="true" t="shared" si="20" ref="L106:Q106">+L87-L104</f>
        <v>38558</v>
      </c>
      <c r="M106" s="14">
        <f t="shared" si="20"/>
        <v>41122.32736220473</v>
      </c>
      <c r="N106" s="14">
        <f t="shared" si="20"/>
        <v>43810.55236220472</v>
      </c>
      <c r="O106" s="14">
        <f t="shared" si="20"/>
        <v>46633.45361220473</v>
      </c>
      <c r="P106" s="14">
        <f t="shared" si="20"/>
        <v>49597.55242470473</v>
      </c>
      <c r="Q106" s="14">
        <f t="shared" si="20"/>
        <v>52709.756177829746</v>
      </c>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row>
    <row r="107" spans="9:43" s="14" customFormat="1" ht="13.5">
      <c r="I107" s="23"/>
      <c r="J107" s="23"/>
      <c r="K107" s="23"/>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row>
    <row r="108" spans="2:43" s="152" customFormat="1" ht="13.5">
      <c r="B108" s="152" t="s">
        <v>166</v>
      </c>
      <c r="H108" s="14"/>
      <c r="I108" s="159">
        <f>+Input!$I$29</f>
        <v>0</v>
      </c>
      <c r="J108" s="159">
        <f>+Input!$K$29</f>
        <v>0</v>
      </c>
      <c r="K108" s="159">
        <f>+Input!$M$29</f>
        <v>0</v>
      </c>
      <c r="L108" s="159">
        <f>+Input!$O$29</f>
        <v>647</v>
      </c>
      <c r="M108" s="159">
        <f>L108*(1+Input!O97)</f>
        <v>647</v>
      </c>
      <c r="N108" s="159">
        <f>M108*(1+Input!P97)</f>
        <v>647</v>
      </c>
      <c r="O108" s="159">
        <f>N108*(1+Input!Q97)</f>
        <v>647</v>
      </c>
      <c r="P108" s="159">
        <f>O108*(1+Input!R97)</f>
        <v>647</v>
      </c>
      <c r="Q108" s="159">
        <f>P108*(1+Input!S97)</f>
        <v>647</v>
      </c>
      <c r="R108" s="159">
        <f>Q108*(1+Input!T97)</f>
        <v>647</v>
      </c>
      <c r="S108" s="154"/>
      <c r="T108" s="154"/>
      <c r="U108" s="154"/>
      <c r="V108" s="154"/>
      <c r="W108" s="154"/>
      <c r="X108" s="154"/>
      <c r="Y108" s="154"/>
      <c r="Z108" s="154"/>
      <c r="AA108" s="154"/>
      <c r="AB108" s="154"/>
      <c r="AC108" s="154"/>
      <c r="AD108" s="154"/>
      <c r="AE108" s="154"/>
      <c r="AF108" s="154"/>
      <c r="AG108" s="154"/>
      <c r="AH108" s="154"/>
      <c r="AI108" s="154"/>
      <c r="AJ108" s="154"/>
      <c r="AK108" s="154"/>
      <c r="AL108" s="154"/>
      <c r="AM108" s="154"/>
      <c r="AN108" s="154"/>
      <c r="AO108" s="154"/>
      <c r="AP108" s="154"/>
      <c r="AQ108" s="154"/>
    </row>
    <row r="109" spans="19:43" s="14" customFormat="1" ht="13.5">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row>
    <row r="110" spans="2:43" s="14" customFormat="1" ht="13.5">
      <c r="B110" s="14" t="s">
        <v>23</v>
      </c>
      <c r="L110" s="14">
        <f>+K13*Input!$L$166</f>
        <v>0</v>
      </c>
      <c r="M110" s="14">
        <f>IF(L13&lt;0," ",+L13*Input!$L$166)</f>
        <v>0</v>
      </c>
      <c r="N110" s="205">
        <f>IF(M13&lt;0,"0",+M13*Input!$L$166)</f>
        <v>0</v>
      </c>
      <c r="O110" s="205">
        <f>IF(N13&lt;0,"0",+N13*Input!$L$166)</f>
        <v>0</v>
      </c>
      <c r="P110" s="205">
        <f>IF(O13&lt;0,"0",+O13*Input!$L$166)</f>
        <v>0</v>
      </c>
      <c r="Q110" s="205">
        <f>IF(P13&lt;0,"0",+P13*Input!$L$166)</f>
        <v>0</v>
      </c>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row>
    <row r="111" spans="2:43" s="152" customFormat="1" ht="13.5">
      <c r="B111" s="152" t="s">
        <v>24</v>
      </c>
      <c r="H111" s="14"/>
      <c r="I111" s="153">
        <f>Input!I31</f>
        <v>0</v>
      </c>
      <c r="J111" s="153">
        <f>Input!K31</f>
        <v>0</v>
      </c>
      <c r="K111" s="153">
        <f>Input!M31</f>
        <v>0</v>
      </c>
      <c r="L111" s="153">
        <f>Input!O31</f>
        <v>0</v>
      </c>
      <c r="M111" s="153">
        <f aca="true" t="shared" si="21" ref="M111:R111">L111</f>
        <v>0</v>
      </c>
      <c r="N111" s="153">
        <f t="shared" si="21"/>
        <v>0</v>
      </c>
      <c r="O111" s="153">
        <f t="shared" si="21"/>
        <v>0</v>
      </c>
      <c r="P111" s="153">
        <f t="shared" si="21"/>
        <v>0</v>
      </c>
      <c r="Q111" s="153">
        <f t="shared" si="21"/>
        <v>0</v>
      </c>
      <c r="R111" s="153">
        <f t="shared" si="21"/>
        <v>0</v>
      </c>
      <c r="S111" s="154"/>
      <c r="T111" s="154"/>
      <c r="U111" s="154"/>
      <c r="V111" s="154"/>
      <c r="W111" s="154"/>
      <c r="X111" s="154"/>
      <c r="Y111" s="154"/>
      <c r="Z111" s="154"/>
      <c r="AA111" s="154"/>
      <c r="AB111" s="154"/>
      <c r="AC111" s="154"/>
      <c r="AD111" s="154"/>
      <c r="AE111" s="154"/>
      <c r="AF111" s="154"/>
      <c r="AG111" s="154"/>
      <c r="AH111" s="154"/>
      <c r="AI111" s="154"/>
      <c r="AJ111" s="154"/>
      <c r="AK111" s="154"/>
      <c r="AL111" s="154"/>
      <c r="AM111" s="154"/>
      <c r="AN111" s="154"/>
      <c r="AO111" s="154"/>
      <c r="AP111" s="154"/>
      <c r="AQ111" s="154"/>
    </row>
    <row r="112" spans="2:43" s="14" customFormat="1" ht="13.5">
      <c r="B112" s="14" t="s">
        <v>167</v>
      </c>
      <c r="I112" s="14">
        <f>I106-I108</f>
        <v>0</v>
      </c>
      <c r="J112" s="14">
        <f>J106-J108</f>
        <v>0</v>
      </c>
      <c r="K112" s="14">
        <f>K106-K108</f>
        <v>0</v>
      </c>
      <c r="L112" s="14">
        <f>L106-L108</f>
        <v>37911</v>
      </c>
      <c r="M112" s="14">
        <f>+M106-M108+M110+M111</f>
        <v>40475.32736220473</v>
      </c>
      <c r="N112" s="14">
        <f>+N106-N108+N110+N111</f>
        <v>43163.55236220472</v>
      </c>
      <c r="O112" s="14">
        <f>+O106-O108+O110+O111</f>
        <v>45986.45361220473</v>
      </c>
      <c r="P112" s="14">
        <f>+P106-P108+P110+P111</f>
        <v>48950.55242470473</v>
      </c>
      <c r="Q112" s="14">
        <f>+Q106-Q108+Q110+Q111</f>
        <v>52062.756177829746</v>
      </c>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row>
    <row r="113" spans="19:43" s="14" customFormat="1" ht="13.5">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row>
    <row r="114" spans="2:43" s="14" customFormat="1" ht="13.5">
      <c r="B114" s="14" t="s">
        <v>168</v>
      </c>
      <c r="I114" s="23">
        <f>+Input!$I$32</f>
        <v>0</v>
      </c>
      <c r="J114" s="23">
        <f>+Input!$K$32</f>
        <v>0</v>
      </c>
      <c r="K114" s="23">
        <f>+Input!$M$32</f>
        <v>0</v>
      </c>
      <c r="L114" s="23">
        <f>+Input!$O$32</f>
        <v>32631</v>
      </c>
      <c r="M114" s="23">
        <f>+Calculations!O$43</f>
        <v>34837.11426064961</v>
      </c>
      <c r="N114" s="23">
        <f>+Calculations!P$43</f>
        <v>37150.8695181496</v>
      </c>
      <c r="O114" s="23">
        <f>+Calculations!Q$43</f>
        <v>39580.54062402461</v>
      </c>
      <c r="P114" s="23">
        <f>+Calculations!R$43</f>
        <v>42131.74047194336</v>
      </c>
      <c r="Q114" s="23">
        <f>+Calculations!S$43</f>
        <v>44810.41424225806</v>
      </c>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row>
    <row r="115" spans="2:43" s="14" customFormat="1" ht="13.5">
      <c r="B115" s="14" t="s">
        <v>169</v>
      </c>
      <c r="I115" s="14">
        <f>+I112-I114</f>
        <v>0</v>
      </c>
      <c r="J115" s="14">
        <f>+J112-J114</f>
        <v>0</v>
      </c>
      <c r="K115" s="14">
        <f>+K112-K114</f>
        <v>0</v>
      </c>
      <c r="L115" s="14">
        <f aca="true" t="shared" si="22" ref="L115:Q115">+L112-L114</f>
        <v>5280</v>
      </c>
      <c r="M115" s="14">
        <f t="shared" si="22"/>
        <v>5638.21310155512</v>
      </c>
      <c r="N115" s="14">
        <f t="shared" si="22"/>
        <v>6012.682844055118</v>
      </c>
      <c r="O115" s="14">
        <f t="shared" si="22"/>
        <v>6405.91298818012</v>
      </c>
      <c r="P115" s="14">
        <f t="shared" si="22"/>
        <v>6818.811952761367</v>
      </c>
      <c r="Q115" s="14">
        <f t="shared" si="22"/>
        <v>7252.341935571683</v>
      </c>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row>
    <row r="116" spans="19:43" s="14" customFormat="1" ht="13.5">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row>
    <row r="117" spans="2:43" s="14" customFormat="1" ht="13.5">
      <c r="B117" s="14" t="s">
        <v>26</v>
      </c>
      <c r="I117" s="23">
        <f>+Input!$I$34</f>
        <v>0</v>
      </c>
      <c r="J117" s="23">
        <f>+Input!$K$34</f>
        <v>0</v>
      </c>
      <c r="K117" s="23">
        <f>+Input!$M$34</f>
        <v>0</v>
      </c>
      <c r="L117" s="23">
        <f>+Input!$O$34</f>
        <v>0</v>
      </c>
      <c r="M117" s="23">
        <f>-M157</f>
        <v>40.08</v>
      </c>
      <c r="N117" s="23">
        <f>-N157</f>
        <v>40.08</v>
      </c>
      <c r="O117" s="23">
        <f>-O157</f>
        <v>40.08</v>
      </c>
      <c r="P117" s="23">
        <f>-P157</f>
        <v>40.08</v>
      </c>
      <c r="Q117" s="23">
        <f>-Q157</f>
        <v>40.08</v>
      </c>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row>
    <row r="118" spans="2:43" s="14" customFormat="1" ht="14.25" thickBot="1">
      <c r="B118" s="14" t="s">
        <v>170</v>
      </c>
      <c r="I118" s="24">
        <f>+I115-I117</f>
        <v>0</v>
      </c>
      <c r="J118" s="24">
        <f>+J115-J117</f>
        <v>0</v>
      </c>
      <c r="K118" s="24">
        <f>+K115-K117</f>
        <v>0</v>
      </c>
      <c r="L118" s="24">
        <f aca="true" t="shared" si="23" ref="L118:Q118">+L115-L117</f>
        <v>5280</v>
      </c>
      <c r="M118" s="24">
        <f t="shared" si="23"/>
        <v>5598.13310155512</v>
      </c>
      <c r="N118" s="24">
        <f t="shared" si="23"/>
        <v>5972.602844055118</v>
      </c>
      <c r="O118" s="24">
        <f t="shared" si="23"/>
        <v>6365.83298818012</v>
      </c>
      <c r="P118" s="24">
        <f t="shared" si="23"/>
        <v>6778.731952761367</v>
      </c>
      <c r="Q118" s="24">
        <f t="shared" si="23"/>
        <v>7212.261935571683</v>
      </c>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row>
    <row r="119" spans="19:43" s="14" customFormat="1" ht="14.25" thickTop="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row>
    <row r="120" spans="2:43" s="14" customFormat="1" ht="13.5">
      <c r="B120" s="14" t="s">
        <v>171</v>
      </c>
      <c r="L120" s="63">
        <f>K68</f>
        <v>0</v>
      </c>
      <c r="M120" s="14">
        <f>L68</f>
        <v>49365</v>
      </c>
      <c r="N120" s="14">
        <f>+M122</f>
        <v>54963.13310155512</v>
      </c>
      <c r="O120" s="14">
        <f>+N122</f>
        <v>60935.735945610235</v>
      </c>
      <c r="P120" s="14">
        <f>+O122</f>
        <v>67301.56893379036</v>
      </c>
      <c r="Q120" s="14">
        <f>+P122</f>
        <v>74080.30088655172</v>
      </c>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row>
    <row r="121" spans="2:43" s="14" customFormat="1" ht="13.5">
      <c r="B121" s="14" t="s">
        <v>112</v>
      </c>
      <c r="D121" s="14" t="s">
        <v>172</v>
      </c>
      <c r="L121" s="63"/>
      <c r="M121" s="14">
        <f>+M157</f>
        <v>-40.08</v>
      </c>
      <c r="N121" s="14">
        <f>+N157</f>
        <v>-40.08</v>
      </c>
      <c r="O121" s="14">
        <f>+O157</f>
        <v>-40.08</v>
      </c>
      <c r="P121" s="14">
        <f>+P157</f>
        <v>-40.08</v>
      </c>
      <c r="Q121" s="14">
        <f>+Q157</f>
        <v>-40.08</v>
      </c>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row>
    <row r="122" spans="2:43" s="14" customFormat="1" ht="14.25" thickBot="1">
      <c r="B122" s="14" t="s">
        <v>173</v>
      </c>
      <c r="I122" s="61">
        <f aca="true" t="shared" si="24" ref="I122:O122">+I115+I120+I121</f>
        <v>0</v>
      </c>
      <c r="J122" s="61">
        <f t="shared" si="24"/>
        <v>0</v>
      </c>
      <c r="K122" s="61">
        <f t="shared" si="24"/>
        <v>0</v>
      </c>
      <c r="L122" s="61">
        <f t="shared" si="24"/>
        <v>5280</v>
      </c>
      <c r="M122" s="61">
        <f t="shared" si="24"/>
        <v>54963.13310155512</v>
      </c>
      <c r="N122" s="61">
        <f t="shared" si="24"/>
        <v>60935.735945610235</v>
      </c>
      <c r="O122" s="61">
        <f t="shared" si="24"/>
        <v>67301.56893379036</v>
      </c>
      <c r="P122" s="61">
        <f>+P115+P120+P121</f>
        <v>74080.30088655172</v>
      </c>
      <c r="Q122" s="61">
        <f>+Q115+Q120+Q121</f>
        <v>81292.5628221234</v>
      </c>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row>
    <row r="123" spans="19:43" s="14" customFormat="1" ht="13.5" customHeight="1" thickTop="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row>
    <row r="124" spans="1:43" s="14" customFormat="1" ht="15.75" customHeight="1" thickBot="1">
      <c r="A124" s="123" t="s">
        <v>174</v>
      </c>
      <c r="B124" s="15"/>
      <c r="C124" s="15"/>
      <c r="D124" s="15"/>
      <c r="E124" s="15"/>
      <c r="F124" s="15"/>
      <c r="G124" s="15"/>
      <c r="H124" s="15"/>
      <c r="I124" s="15"/>
      <c r="J124" s="15"/>
      <c r="K124" s="15"/>
      <c r="L124" s="15"/>
      <c r="M124" s="15"/>
      <c r="N124" s="15"/>
      <c r="O124" s="15"/>
      <c r="P124" s="15"/>
      <c r="Q124" s="15"/>
      <c r="R124" s="15"/>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row>
    <row r="125" spans="19:43" s="14" customFormat="1" ht="13.5">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row>
    <row r="126" spans="9:43" s="14" customFormat="1" ht="15">
      <c r="I126" s="194"/>
      <c r="J126" s="194" t="str">
        <f>J9</f>
        <v>Pre-Implementation</v>
      </c>
      <c r="K126" s="194"/>
      <c r="L126" s="108"/>
      <c r="M126" s="143" t="str">
        <f>+M9</f>
        <v>Post-Implementation</v>
      </c>
      <c r="N126" s="105"/>
      <c r="O126" s="105"/>
      <c r="P126" s="105"/>
      <c r="Q126" s="105"/>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row>
    <row r="127" spans="8:43" s="195" customFormat="1" ht="14.25" thickBot="1">
      <c r="H127" s="14"/>
      <c r="I127" s="196">
        <f>+I10</f>
        <v>33784.25</v>
      </c>
      <c r="J127" s="196">
        <f>+J10</f>
        <v>34149.5</v>
      </c>
      <c r="K127" s="196">
        <f>+K10</f>
        <v>34514.75</v>
      </c>
      <c r="L127" s="196">
        <f>+L10</f>
        <v>34880</v>
      </c>
      <c r="M127" s="196">
        <f>+M10</f>
        <v>35245.25</v>
      </c>
      <c r="N127" s="196">
        <f>+N10</f>
        <v>35610.5</v>
      </c>
      <c r="O127" s="196">
        <f>+O10</f>
        <v>35975.75</v>
      </c>
      <c r="P127" s="196">
        <f>+P10</f>
        <v>36341</v>
      </c>
      <c r="Q127" s="196">
        <f>+Q10</f>
        <v>36706.25</v>
      </c>
      <c r="S127" s="92"/>
      <c r="T127" s="92"/>
      <c r="U127" s="92"/>
      <c r="V127" s="92"/>
      <c r="W127" s="92"/>
      <c r="X127" s="92"/>
      <c r="Y127" s="92"/>
      <c r="Z127" s="92"/>
      <c r="AA127" s="92"/>
      <c r="AB127" s="92"/>
      <c r="AC127" s="92"/>
      <c r="AD127" s="92"/>
      <c r="AE127" s="92"/>
      <c r="AF127" s="92"/>
      <c r="AG127" s="92"/>
      <c r="AH127" s="92"/>
      <c r="AI127" s="92"/>
      <c r="AJ127" s="92"/>
      <c r="AK127" s="92"/>
      <c r="AL127" s="92"/>
      <c r="AM127" s="92"/>
      <c r="AN127" s="92"/>
      <c r="AO127" s="92"/>
      <c r="AP127" s="92"/>
      <c r="AQ127" s="92"/>
    </row>
    <row r="128" spans="12:43" s="14" customFormat="1" ht="13.5">
      <c r="L128" s="109"/>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row>
    <row r="129" spans="2:43" s="14" customFormat="1" ht="13.5">
      <c r="B129" s="14" t="s">
        <v>169</v>
      </c>
      <c r="L129" s="109"/>
      <c r="M129" s="14">
        <f>+M115</f>
        <v>5638.21310155512</v>
      </c>
      <c r="N129" s="14">
        <f>+N115</f>
        <v>6012.682844055118</v>
      </c>
      <c r="O129" s="14">
        <f>+O115</f>
        <v>6405.91298818012</v>
      </c>
      <c r="P129" s="14">
        <f>+P115</f>
        <v>6818.811952761367</v>
      </c>
      <c r="Q129" s="14">
        <f>+Q115</f>
        <v>7252.341935571683</v>
      </c>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row>
    <row r="130" spans="2:43" s="14" customFormat="1" ht="15">
      <c r="B130" s="106" t="s">
        <v>175</v>
      </c>
      <c r="L130" s="109"/>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row>
    <row r="131" spans="2:43" s="152" customFormat="1" ht="15">
      <c r="B131" s="156"/>
      <c r="C131" s="152" t="s">
        <v>3</v>
      </c>
      <c r="L131" s="155"/>
      <c r="M131" s="152">
        <f aca="true" t="shared" si="25" ref="M131:Q132">L32-M32</f>
        <v>-5</v>
      </c>
      <c r="N131" s="152">
        <f t="shared" si="25"/>
        <v>0</v>
      </c>
      <c r="O131" s="152">
        <f t="shared" si="25"/>
        <v>0</v>
      </c>
      <c r="P131" s="152">
        <f t="shared" si="25"/>
        <v>0</v>
      </c>
      <c r="Q131" s="152">
        <f t="shared" si="25"/>
        <v>0</v>
      </c>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row>
    <row r="132" spans="2:43" s="14" customFormat="1" ht="15">
      <c r="B132" s="106"/>
      <c r="C132" s="14" t="s">
        <v>5</v>
      </c>
      <c r="L132" s="109"/>
      <c r="M132" s="152">
        <f t="shared" si="25"/>
        <v>-0.5</v>
      </c>
      <c r="N132" s="152">
        <f t="shared" si="25"/>
        <v>-0.5</v>
      </c>
      <c r="O132" s="152">
        <f t="shared" si="25"/>
        <v>-0.5</v>
      </c>
      <c r="P132" s="152">
        <f t="shared" si="25"/>
        <v>-0.5</v>
      </c>
      <c r="Q132" s="152">
        <f t="shared" si="25"/>
        <v>-0.5</v>
      </c>
      <c r="R132" s="14" t="e">
        <f>R33-#REF!</f>
        <v>#REF!</v>
      </c>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row>
    <row r="133" spans="3:43" s="14" customFormat="1" ht="13.5">
      <c r="C133" s="14" t="s">
        <v>176</v>
      </c>
      <c r="L133" s="109"/>
      <c r="M133" s="14">
        <f>+SUM(M102:M103)</f>
        <v>4879.1726377952755</v>
      </c>
      <c r="N133" s="14">
        <f>+SUM(N102:N103)</f>
        <v>4879.472637795276</v>
      </c>
      <c r="O133" s="14">
        <f>+SUM(O102:O103)</f>
        <v>4879.522637795276</v>
      </c>
      <c r="P133" s="14">
        <f>+SUM(P102:P103)</f>
        <v>4879.522637795276</v>
      </c>
      <c r="Q133" s="14">
        <f>+SUM(Q102:Q103)</f>
        <v>4879.622637795276</v>
      </c>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row>
    <row r="134" spans="3:43" s="14" customFormat="1" ht="13.5" outlineLevel="1">
      <c r="C134" s="14" t="str">
        <f>"Change in "&amp;C14</f>
        <v>Change in Accounts Receivable</v>
      </c>
      <c r="L134" s="109"/>
      <c r="M134" s="16">
        <f aca="true" t="shared" si="26" ref="M134:Q137">L14-M14</f>
        <v>-343</v>
      </c>
      <c r="N134" s="16">
        <f t="shared" si="26"/>
        <v>-360.15000000000055</v>
      </c>
      <c r="O134" s="16">
        <f t="shared" si="26"/>
        <v>-378.15750000000025</v>
      </c>
      <c r="P134" s="16">
        <f t="shared" si="26"/>
        <v>-397.06537500000013</v>
      </c>
      <c r="Q134" s="16">
        <f t="shared" si="26"/>
        <v>-416.91864375000114</v>
      </c>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row>
    <row r="135" spans="3:43" s="14" customFormat="1" ht="13.5" outlineLevel="1">
      <c r="C135" s="14" t="str">
        <f>"Change in "&amp;C15</f>
        <v>Change in Inventory</v>
      </c>
      <c r="L135" s="109"/>
      <c r="M135" s="16">
        <f t="shared" si="26"/>
        <v>-273.60000000000036</v>
      </c>
      <c r="N135" s="16">
        <f t="shared" si="26"/>
        <v>-287.28000000000065</v>
      </c>
      <c r="O135" s="16">
        <f t="shared" si="26"/>
        <v>-301.64400000000023</v>
      </c>
      <c r="P135" s="16">
        <f t="shared" si="26"/>
        <v>-316.72620000000006</v>
      </c>
      <c r="Q135" s="16">
        <f t="shared" si="26"/>
        <v>-332.56251000000066</v>
      </c>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row>
    <row r="136" spans="3:43" s="14" customFormat="1" ht="13.5" outlineLevel="1">
      <c r="C136" s="14" t="str">
        <f>"Change in "&amp;C16</f>
        <v>Change in Prepaid Expenses</v>
      </c>
      <c r="L136" s="109"/>
      <c r="M136" s="16">
        <f t="shared" si="26"/>
        <v>-43.75</v>
      </c>
      <c r="N136" s="16">
        <f t="shared" si="26"/>
        <v>-45.9375</v>
      </c>
      <c r="O136" s="16">
        <f t="shared" si="26"/>
        <v>-48.234375</v>
      </c>
      <c r="P136" s="16">
        <f t="shared" si="26"/>
        <v>-50.64609375000009</v>
      </c>
      <c r="Q136" s="16">
        <f t="shared" si="26"/>
        <v>-53.178398437500164</v>
      </c>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row>
    <row r="137" spans="3:43" s="14" customFormat="1" ht="13.5" outlineLevel="1">
      <c r="C137" s="14" t="str">
        <f>"Change in "&amp;C17</f>
        <v>Change in Other Current Assets</v>
      </c>
      <c r="I137" s="23"/>
      <c r="J137" s="23"/>
      <c r="K137" s="23"/>
      <c r="L137" s="187"/>
      <c r="M137" s="23">
        <f t="shared" si="26"/>
        <v>-239.5</v>
      </c>
      <c r="N137" s="23">
        <f t="shared" si="26"/>
        <v>-251.47500000000036</v>
      </c>
      <c r="O137" s="23">
        <f t="shared" si="26"/>
        <v>-264.0487499999999</v>
      </c>
      <c r="P137" s="23">
        <f t="shared" si="26"/>
        <v>-277.2511875</v>
      </c>
      <c r="Q137" s="23">
        <f t="shared" si="26"/>
        <v>-291.1137468750003</v>
      </c>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row>
    <row r="138" spans="3:43" s="14" customFormat="1" ht="13.5">
      <c r="C138" s="1"/>
      <c r="D138" s="14" t="str">
        <f>"Change in "&amp;D18</f>
        <v>Change in Total Current Assets</v>
      </c>
      <c r="I138" s="16">
        <f aca="true" t="shared" si="27" ref="I138:Q138">SUM(H14:H17)-SUM(I14:I17)</f>
        <v>0</v>
      </c>
      <c r="J138" s="16">
        <f t="shared" si="27"/>
        <v>0</v>
      </c>
      <c r="K138" s="16">
        <f t="shared" si="27"/>
        <v>0</v>
      </c>
      <c r="L138" s="16">
        <v>0</v>
      </c>
      <c r="M138" s="16">
        <f t="shared" si="27"/>
        <v>-899.8499999999985</v>
      </c>
      <c r="N138" s="16">
        <f t="shared" si="27"/>
        <v>-944.8425000000061</v>
      </c>
      <c r="O138" s="16">
        <f t="shared" si="27"/>
        <v>-992.0846249999959</v>
      </c>
      <c r="P138" s="16">
        <f t="shared" si="27"/>
        <v>-1041.6888562500026</v>
      </c>
      <c r="Q138" s="16">
        <f t="shared" si="27"/>
        <v>-1093.7732990625009</v>
      </c>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row>
    <row r="139" spans="3:43" s="14" customFormat="1" ht="13.5">
      <c r="C139" s="14" t="str">
        <f>"Change in "&amp;C47</f>
        <v>Change in Interest Payable</v>
      </c>
      <c r="L139" s="109"/>
      <c r="M139" s="16">
        <f aca="true" t="shared" si="28" ref="M139:R140">M47-L47</f>
        <v>0</v>
      </c>
      <c r="N139" s="16">
        <f t="shared" si="28"/>
        <v>0</v>
      </c>
      <c r="O139" s="16">
        <f t="shared" si="28"/>
        <v>0</v>
      </c>
      <c r="P139" s="16">
        <f t="shared" si="28"/>
        <v>0</v>
      </c>
      <c r="Q139" s="16">
        <f t="shared" si="28"/>
        <v>0</v>
      </c>
      <c r="R139" s="16">
        <f t="shared" si="28"/>
        <v>0</v>
      </c>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row>
    <row r="140" spans="3:43" s="14" customFormat="1" ht="13.5" outlineLevel="1">
      <c r="C140" s="14" t="str">
        <f>"Change in "&amp;C48</f>
        <v>Change in Accounts Payable</v>
      </c>
      <c r="L140" s="109"/>
      <c r="M140" s="16">
        <f t="shared" si="28"/>
        <v>383.85000000000036</v>
      </c>
      <c r="N140" s="16">
        <f t="shared" si="28"/>
        <v>403.04249999999956</v>
      </c>
      <c r="O140" s="16">
        <f t="shared" si="28"/>
        <v>423.1946250000001</v>
      </c>
      <c r="P140" s="16">
        <f t="shared" si="28"/>
        <v>444.3543562499999</v>
      </c>
      <c r="Q140" s="16">
        <f t="shared" si="28"/>
        <v>466.5720740625002</v>
      </c>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row>
    <row r="141" spans="3:43" s="14" customFormat="1" ht="13.5" outlineLevel="1">
      <c r="C141" s="14" t="str">
        <f>"Change in "&amp;C52</f>
        <v>Change in Current Portion of Long Term Debt</v>
      </c>
      <c r="L141" s="109"/>
      <c r="M141" s="16">
        <f>M52-L52</f>
        <v>0</v>
      </c>
      <c r="N141" s="16">
        <f>N52-M52</f>
        <v>0</v>
      </c>
      <c r="O141" s="16">
        <f>O52-N52</f>
        <v>0</v>
      </c>
      <c r="P141" s="16">
        <f>P52-O52</f>
        <v>0</v>
      </c>
      <c r="Q141" s="16">
        <f>Q52-P52</f>
        <v>0</v>
      </c>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row>
    <row r="142" spans="3:43" s="14" customFormat="1" ht="13.5" outlineLevel="1">
      <c r="C142" s="14" t="s">
        <v>177</v>
      </c>
      <c r="L142" s="109"/>
      <c r="M142" s="16">
        <f aca="true" t="shared" si="29" ref="M142:Q143">M49-L49</f>
        <v>0</v>
      </c>
      <c r="N142" s="16">
        <f t="shared" si="29"/>
        <v>0</v>
      </c>
      <c r="O142" s="16">
        <f t="shared" si="29"/>
        <v>0</v>
      </c>
      <c r="P142" s="16">
        <f t="shared" si="29"/>
        <v>0</v>
      </c>
      <c r="Q142" s="16">
        <f t="shared" si="29"/>
        <v>0</v>
      </c>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row>
    <row r="143" spans="3:43" s="14" customFormat="1" ht="13.5" outlineLevel="1">
      <c r="C143" s="14" t="s">
        <v>178</v>
      </c>
      <c r="I143" s="23"/>
      <c r="J143" s="23"/>
      <c r="K143" s="23"/>
      <c r="L143" s="187"/>
      <c r="M143" s="23">
        <f t="shared" si="29"/>
        <v>0</v>
      </c>
      <c r="N143" s="23">
        <f t="shared" si="29"/>
        <v>0</v>
      </c>
      <c r="O143" s="23">
        <f t="shared" si="29"/>
        <v>0</v>
      </c>
      <c r="P143" s="23">
        <f t="shared" si="29"/>
        <v>0</v>
      </c>
      <c r="Q143" s="23">
        <f t="shared" si="29"/>
        <v>0</v>
      </c>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row>
    <row r="144" spans="3:43" s="14" customFormat="1" ht="13.5">
      <c r="C144" s="1"/>
      <c r="D144" s="14" t="str">
        <f>"Change in "&amp;D56</f>
        <v>Change in Total Current Liabilities</v>
      </c>
      <c r="I144" s="16">
        <f>SUM(I47:I55)-SUM(H47:H55)</f>
        <v>0</v>
      </c>
      <c r="J144" s="16">
        <f>SUM(J47:J55)-SUM(I47:I55)</f>
        <v>0</v>
      </c>
      <c r="K144" s="16">
        <f>SUM(K47:K55)-SUM(J47:J55)</f>
        <v>0</v>
      </c>
      <c r="L144" s="16">
        <v>0</v>
      </c>
      <c r="M144" s="16">
        <f aca="true" t="shared" si="30" ref="M144:R144">SUM(M47:M55)-SUM(L47:L55)</f>
        <v>383.84999999999854</v>
      </c>
      <c r="N144" s="16">
        <f t="shared" si="30"/>
        <v>403.0425000000032</v>
      </c>
      <c r="O144" s="16">
        <f t="shared" si="30"/>
        <v>423.19462499999645</v>
      </c>
      <c r="P144" s="16">
        <f t="shared" si="30"/>
        <v>444.35435625000173</v>
      </c>
      <c r="Q144" s="16">
        <f t="shared" si="30"/>
        <v>466.5720740625002</v>
      </c>
      <c r="R144" s="16" t="e">
        <f t="shared" si="30"/>
        <v>#REF!</v>
      </c>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row>
    <row r="145" spans="3:43" s="14" customFormat="1" ht="13.5">
      <c r="C145" s="14" t="str">
        <f>+"Change in "&amp;Input!$E$52</f>
        <v>Change in Other Noncurrent Assets </v>
      </c>
      <c r="L145" s="109"/>
      <c r="M145" s="16">
        <f>L27-M27</f>
        <v>-126.70000000000027</v>
      </c>
      <c r="N145" s="16">
        <f>M27-N27</f>
        <v>-133.0350000000003</v>
      </c>
      <c r="O145" s="16">
        <f>N27-O27</f>
        <v>-139.6867500000003</v>
      </c>
      <c r="P145" s="16">
        <f>O27-P27</f>
        <v>-146.67108750000034</v>
      </c>
      <c r="Q145" s="16">
        <f>P27-Q27</f>
        <v>-154.0046418750003</v>
      </c>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row>
    <row r="146" spans="3:43" s="14" customFormat="1" ht="13.5">
      <c r="C146" s="14" t="s">
        <v>179</v>
      </c>
      <c r="L146" s="109"/>
      <c r="M146" s="16">
        <f>+Calculations!N46-Calculations!O46</f>
        <v>0</v>
      </c>
      <c r="N146" s="16">
        <f>+Calculations!O46-Calculations!P46</f>
        <v>0</v>
      </c>
      <c r="O146" s="16">
        <f>+Calculations!P46-Calculations!Q46</f>
        <v>0</v>
      </c>
      <c r="P146" s="16">
        <f>+Calculations!Q46-Calculations!R46</f>
        <v>0</v>
      </c>
      <c r="Q146" s="16">
        <f>+Calculations!R46-Calculations!S46</f>
        <v>0</v>
      </c>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row>
    <row r="147" spans="3:43" s="14" customFormat="1" ht="13.5">
      <c r="C147" s="14" t="str">
        <f>+"Change in "&amp;Input!$E$73</f>
        <v>Change in Deferred Taxes Payable</v>
      </c>
      <c r="I147" s="23"/>
      <c r="J147" s="23"/>
      <c r="K147" s="23"/>
      <c r="L147" s="187"/>
      <c r="M147" s="23">
        <f>+L61-M61</f>
        <v>0</v>
      </c>
      <c r="N147" s="23">
        <f>+M61-N61</f>
        <v>0</v>
      </c>
      <c r="O147" s="23">
        <f>+N61-O61</f>
        <v>0</v>
      </c>
      <c r="P147" s="23">
        <f>+O61-P61</f>
        <v>0</v>
      </c>
      <c r="Q147" s="23">
        <f>+P61-Q61</f>
        <v>0</v>
      </c>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row>
    <row r="148" spans="4:43" s="14" customFormat="1" ht="13.5">
      <c r="D148" s="14" t="s">
        <v>180</v>
      </c>
      <c r="I148" s="14">
        <f>SUM(I129:I137)+SUM(I140:I143)+SUM(I145:I147)</f>
        <v>0</v>
      </c>
      <c r="J148" s="14">
        <f>SUM(J129:J137)+SUM(J140:J143)+SUM(J145:J147)</f>
        <v>0</v>
      </c>
      <c r="K148" s="14">
        <f>SUM(K129:K137)+SUM(K140:K143)+SUM(K145:K147)</f>
        <v>0</v>
      </c>
      <c r="L148" s="14">
        <f>SUM(L129:L137)+SUM(L140:L143)+SUM(L145:L147)</f>
        <v>0</v>
      </c>
      <c r="M148" s="14">
        <f aca="true" t="shared" si="31" ref="M148:R148">SUM(M129:M137)+SUM(M139:M143)+SUM(M145:M147)</f>
        <v>9869.185739350396</v>
      </c>
      <c r="N148" s="14">
        <f t="shared" si="31"/>
        <v>10216.820481850391</v>
      </c>
      <c r="O148" s="14">
        <f t="shared" si="31"/>
        <v>10576.358875975393</v>
      </c>
      <c r="P148" s="14">
        <f t="shared" si="31"/>
        <v>10953.829003056642</v>
      </c>
      <c r="Q148" s="14">
        <f t="shared" si="31"/>
        <v>11350.258706491957</v>
      </c>
      <c r="R148" s="14" t="e">
        <f t="shared" si="31"/>
        <v>#REF!</v>
      </c>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row>
    <row r="149" spans="12:43" s="14" customFormat="1" ht="13.5">
      <c r="L149" s="109"/>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row>
    <row r="150" spans="2:43" s="14" customFormat="1" ht="15">
      <c r="B150" s="106" t="s">
        <v>181</v>
      </c>
      <c r="L150" s="109"/>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row>
    <row r="151" spans="3:43" s="14" customFormat="1" ht="13.5">
      <c r="C151" s="14" t="str">
        <f>+Input!$D$115</f>
        <v>Capital Expenditures:</v>
      </c>
      <c r="I151" s="23"/>
      <c r="J151" s="23"/>
      <c r="K151" s="23"/>
      <c r="L151" s="187"/>
      <c r="M151" s="23">
        <f>-SUM(Input!O$116:O$117)</f>
        <v>0</v>
      </c>
      <c r="N151" s="23">
        <f>-SUM(Input!P$116:P$117)</f>
        <v>0</v>
      </c>
      <c r="O151" s="23">
        <f>-SUM(Input!Q$116:Q$117)</f>
        <v>0</v>
      </c>
      <c r="P151" s="23">
        <f>-SUM(Input!R$116:R$117)</f>
        <v>0</v>
      </c>
      <c r="Q151" s="23">
        <f>-SUM(Input!S$116:S$117)</f>
        <v>0</v>
      </c>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row>
    <row r="152" spans="4:43" s="14" customFormat="1" ht="13.5">
      <c r="D152" s="14" t="s">
        <v>182</v>
      </c>
      <c r="I152" s="14">
        <f aca="true" t="shared" si="32" ref="I152:Q152">SUM(I151:I151)</f>
        <v>0</v>
      </c>
      <c r="J152" s="14">
        <f t="shared" si="32"/>
        <v>0</v>
      </c>
      <c r="K152" s="14">
        <f t="shared" si="32"/>
        <v>0</v>
      </c>
      <c r="L152" s="14">
        <f t="shared" si="32"/>
        <v>0</v>
      </c>
      <c r="M152" s="14">
        <f t="shared" si="32"/>
        <v>0</v>
      </c>
      <c r="N152" s="14">
        <f t="shared" si="32"/>
        <v>0</v>
      </c>
      <c r="O152" s="14">
        <f t="shared" si="32"/>
        <v>0</v>
      </c>
      <c r="P152" s="14">
        <f t="shared" si="32"/>
        <v>0</v>
      </c>
      <c r="Q152" s="14">
        <f t="shared" si="32"/>
        <v>0</v>
      </c>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row>
    <row r="153" spans="12:43" s="14" customFormat="1" ht="13.5">
      <c r="L153" s="109"/>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row>
    <row r="154" spans="2:43" s="14" customFormat="1" ht="15">
      <c r="B154" s="106" t="s">
        <v>183</v>
      </c>
      <c r="L154" s="109"/>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row>
    <row r="155" spans="2:43" s="152" customFormat="1" ht="15">
      <c r="B155" s="156"/>
      <c r="C155" s="152" t="str">
        <f>"Change in "&amp;Input!$E$71</f>
        <v>Change in Long-Term Notes</v>
      </c>
      <c r="H155" s="14"/>
      <c r="L155" s="109"/>
      <c r="M155" s="152">
        <v>0</v>
      </c>
      <c r="N155" s="152">
        <f>+N59-M59</f>
        <v>0</v>
      </c>
      <c r="O155" s="152">
        <f>+O59-N59</f>
        <v>0</v>
      </c>
      <c r="P155" s="152">
        <f>+P59-O59</f>
        <v>0</v>
      </c>
      <c r="Q155" s="152">
        <f>+Q59-P59</f>
        <v>0</v>
      </c>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row>
    <row r="156" spans="3:43" s="14" customFormat="1" ht="13.5">
      <c r="C156" s="14" t="s">
        <v>184</v>
      </c>
      <c r="L156" s="109"/>
      <c r="M156" s="14">
        <f>+M51-L51</f>
        <v>0</v>
      </c>
      <c r="N156" s="14">
        <f>N51-M51</f>
        <v>0</v>
      </c>
      <c r="O156" s="14">
        <f>O51-N51</f>
        <v>0</v>
      </c>
      <c r="P156" s="14">
        <f>P51-O51</f>
        <v>0</v>
      </c>
      <c r="Q156" s="14">
        <f>Q51-P51</f>
        <v>0</v>
      </c>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row>
    <row r="157" spans="3:43" s="152" customFormat="1" ht="13.5">
      <c r="C157" s="152" t="s">
        <v>26</v>
      </c>
      <c r="H157" s="14"/>
      <c r="L157" s="109"/>
      <c r="M157" s="152">
        <f>-M71*Input!$M$136</f>
        <v>-40.08</v>
      </c>
      <c r="N157" s="152">
        <f>M157</f>
        <v>-40.08</v>
      </c>
      <c r="O157" s="152">
        <f>N157</f>
        <v>-40.08</v>
      </c>
      <c r="P157" s="152">
        <f>O157</f>
        <v>-40.08</v>
      </c>
      <c r="Q157" s="152">
        <f>P157</f>
        <v>-40.08</v>
      </c>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row>
    <row r="158" spans="4:43" s="14" customFormat="1" ht="13.5">
      <c r="D158" s="14" t="s">
        <v>185</v>
      </c>
      <c r="L158" s="109"/>
      <c r="M158" s="23">
        <f>SUM(M155:M157)</f>
        <v>-40.08</v>
      </c>
      <c r="N158" s="23">
        <f>SUM(N155:N157)</f>
        <v>-40.08</v>
      </c>
      <c r="O158" s="23">
        <f>SUM(O155:O157)</f>
        <v>-40.08</v>
      </c>
      <c r="P158" s="23">
        <f>SUM(P155:P157)</f>
        <v>-40.08</v>
      </c>
      <c r="Q158" s="23">
        <f>SUM(Q155:Q157)</f>
        <v>-40.08</v>
      </c>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row>
    <row r="159" spans="3:43" s="14" customFormat="1" ht="14.25" thickBot="1">
      <c r="C159" s="14" t="s">
        <v>186</v>
      </c>
      <c r="I159" s="61">
        <f aca="true" t="shared" si="33" ref="I159:Q159">+I158+I152+I148</f>
        <v>0</v>
      </c>
      <c r="J159" s="61">
        <f t="shared" si="33"/>
        <v>0</v>
      </c>
      <c r="K159" s="61">
        <f t="shared" si="33"/>
        <v>0</v>
      </c>
      <c r="L159" s="61">
        <f t="shared" si="33"/>
        <v>0</v>
      </c>
      <c r="M159" s="24">
        <f t="shared" si="33"/>
        <v>9829.105739350396</v>
      </c>
      <c r="N159" s="24">
        <f t="shared" si="33"/>
        <v>10176.740481850391</v>
      </c>
      <c r="O159" s="24">
        <f t="shared" si="33"/>
        <v>10536.278875975393</v>
      </c>
      <c r="P159" s="24">
        <f t="shared" si="33"/>
        <v>10913.749003056642</v>
      </c>
      <c r="Q159" s="24">
        <f t="shared" si="33"/>
        <v>11310.178706491957</v>
      </c>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row>
    <row r="160" spans="12:43" s="14" customFormat="1" ht="14.25" thickTop="1">
      <c r="L160" s="109"/>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row>
    <row r="161" spans="3:43" s="152" customFormat="1" ht="13.5">
      <c r="C161" s="152" t="s">
        <v>85</v>
      </c>
      <c r="H161" s="14"/>
      <c r="L161" s="109"/>
      <c r="M161" s="152">
        <f>Input!M137</f>
        <v>0</v>
      </c>
      <c r="N161" s="152">
        <f>M161</f>
        <v>0</v>
      </c>
      <c r="O161" s="152">
        <f>N161</f>
        <v>0</v>
      </c>
      <c r="P161" s="152">
        <f>O161</f>
        <v>0</v>
      </c>
      <c r="Q161" s="152">
        <f>P161</f>
        <v>0</v>
      </c>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row>
    <row r="162" spans="3:43" s="14" customFormat="1" ht="14.25" thickBot="1">
      <c r="C162" s="14" t="s">
        <v>136</v>
      </c>
      <c r="I162" s="61">
        <f aca="true" t="shared" si="34" ref="I162:Q162">+I159-I161</f>
        <v>0</v>
      </c>
      <c r="J162" s="61">
        <f t="shared" si="34"/>
        <v>0</v>
      </c>
      <c r="K162" s="61">
        <f t="shared" si="34"/>
        <v>0</v>
      </c>
      <c r="L162" s="61">
        <f t="shared" si="34"/>
        <v>0</v>
      </c>
      <c r="M162" s="61">
        <f t="shared" si="34"/>
        <v>9829.105739350396</v>
      </c>
      <c r="N162" s="61">
        <f t="shared" si="34"/>
        <v>10176.740481850391</v>
      </c>
      <c r="O162" s="61">
        <f t="shared" si="34"/>
        <v>10536.278875975393</v>
      </c>
      <c r="P162" s="61">
        <f t="shared" si="34"/>
        <v>10913.749003056642</v>
      </c>
      <c r="Q162" s="61">
        <f t="shared" si="34"/>
        <v>11310.178706491957</v>
      </c>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row>
    <row r="163" spans="12:43" s="14" customFormat="1" ht="14.25" thickTop="1">
      <c r="L163" s="109"/>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row>
    <row r="164" spans="12:43" s="14" customFormat="1" ht="13.5">
      <c r="L164" s="109"/>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row>
    <row r="165" spans="3:43" s="14" customFormat="1" ht="13.5">
      <c r="C165" s="14" t="s">
        <v>187</v>
      </c>
      <c r="L165" s="109"/>
      <c r="M165" s="14">
        <f>L13</f>
        <v>1652</v>
      </c>
      <c r="N165" s="14">
        <f>+M13</f>
        <v>11481.105739350396</v>
      </c>
      <c r="O165" s="14">
        <f>+N13</f>
        <v>21657.846221200787</v>
      </c>
      <c r="P165" s="14">
        <f>+O13</f>
        <v>32194.12509717618</v>
      </c>
      <c r="Q165" s="14">
        <f>+P13</f>
        <v>43107.874100232824</v>
      </c>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row>
    <row r="166" spans="3:43" s="14" customFormat="1" ht="14.25" thickBot="1">
      <c r="C166" s="14" t="s">
        <v>188</v>
      </c>
      <c r="I166" s="24">
        <f>I165+I162</f>
        <v>0</v>
      </c>
      <c r="J166" s="24">
        <f>J165+J162</f>
        <v>0</v>
      </c>
      <c r="K166" s="24">
        <f>K165+K162</f>
        <v>0</v>
      </c>
      <c r="L166" s="24">
        <f>L165+L162</f>
        <v>0</v>
      </c>
      <c r="M166" s="24">
        <f>M165+M162</f>
        <v>11481.105739350396</v>
      </c>
      <c r="N166" s="24">
        <f>+N165+N162</f>
        <v>21657.846221200787</v>
      </c>
      <c r="O166" s="24">
        <f>+O165+O162</f>
        <v>32194.12509717618</v>
      </c>
      <c r="P166" s="24">
        <f>+P165+P162</f>
        <v>43107.874100232824</v>
      </c>
      <c r="Q166" s="24">
        <f>+Q165+Q162</f>
        <v>54418.05280672478</v>
      </c>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row>
    <row r="167" spans="12:43" s="14" customFormat="1" ht="14.25" thickTop="1">
      <c r="L167" s="110"/>
      <c r="M167" s="16"/>
      <c r="N167" s="16"/>
      <c r="O167" s="16"/>
      <c r="P167" s="16"/>
      <c r="Q167" s="16"/>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row>
    <row r="168" ht="13.5">
      <c r="H168" s="14"/>
    </row>
    <row r="186" ht="14.25" thickBot="1"/>
    <row r="187" spans="1:18" ht="13.5">
      <c r="A187" s="98"/>
      <c r="B187" s="98"/>
      <c r="C187" s="98"/>
      <c r="D187" s="98"/>
      <c r="E187" s="98"/>
      <c r="F187" s="98"/>
      <c r="G187" s="98"/>
      <c r="H187" s="98"/>
      <c r="I187" s="98"/>
      <c r="J187" s="98"/>
      <c r="K187" s="98"/>
      <c r="L187" s="98"/>
      <c r="M187" s="98"/>
      <c r="N187" s="98"/>
      <c r="O187" s="98"/>
      <c r="P187" s="98"/>
      <c r="Q187" s="98"/>
      <c r="R187" s="98"/>
    </row>
    <row r="188" spans="12:18" ht="13.5">
      <c r="L188" s="55">
        <v>0</v>
      </c>
      <c r="M188" s="55">
        <f>+L188+1</f>
        <v>1</v>
      </c>
      <c r="N188" s="55">
        <f>+M188+1</f>
        <v>2</v>
      </c>
      <c r="O188" s="55">
        <f>+N188+1</f>
        <v>3</v>
      </c>
      <c r="P188" s="55">
        <f>+O188+1</f>
        <v>4</v>
      </c>
      <c r="Q188" s="55">
        <f>+P188+1</f>
        <v>5</v>
      </c>
      <c r="R188" s="55"/>
    </row>
    <row r="189" spans="1:17" ht="15.75" customHeight="1" thickBot="1">
      <c r="A189" s="40" t="s">
        <v>189</v>
      </c>
      <c r="K189" s="111" t="s">
        <v>190</v>
      </c>
      <c r="L189" s="74"/>
      <c r="M189" s="43">
        <f>+M127</f>
        <v>35245.25</v>
      </c>
      <c r="N189" s="43">
        <f>+N127</f>
        <v>35610.5</v>
      </c>
      <c r="O189" s="43">
        <f>+O127</f>
        <v>35975.75</v>
      </c>
      <c r="P189" s="43">
        <f>+P127</f>
        <v>36341</v>
      </c>
      <c r="Q189" s="43">
        <f>+Q127</f>
        <v>36706.25</v>
      </c>
    </row>
    <row r="191" spans="1:2" ht="15">
      <c r="A191" s="1"/>
      <c r="B191" s="99" t="s">
        <v>78</v>
      </c>
    </row>
    <row r="192" spans="1:17" ht="13.5">
      <c r="A192" s="1"/>
      <c r="C192" s="33" t="str">
        <f>"&gt;&gt;&gt;"</f>
        <v>&gt;&gt;&gt;</v>
      </c>
      <c r="F192" s="33" t="str">
        <f>IF(K192=0,"Cash Balances OK","*** Cash Balances Less Than Zero ***")</f>
        <v>Cash Balances OK</v>
      </c>
      <c r="K192" s="33">
        <f>SUM(L192:Q192)</f>
        <v>0</v>
      </c>
      <c r="M192" s="33">
        <f>IF(M13&gt;0,0,2^M188)</f>
        <v>0</v>
      </c>
      <c r="N192" s="33">
        <f>IF(N13&gt;0,0,2^N188)</f>
        <v>0</v>
      </c>
      <c r="O192" s="33">
        <f>IF(O13&gt;0,0,2^O188)</f>
        <v>0</v>
      </c>
      <c r="P192" s="33">
        <f>IF(P13&gt;0,0,2^P188)</f>
        <v>0</v>
      </c>
      <c r="Q192" s="33">
        <f>IF(Q13&gt;0,0,2^Q188)</f>
        <v>0</v>
      </c>
    </row>
    <row r="194" spans="3:17" ht="13.5">
      <c r="C194" s="33" t="str">
        <f>"&gt;&gt;&gt;"</f>
        <v>&gt;&gt;&gt;</v>
      </c>
      <c r="F194" s="33" t="str">
        <f>IF(K194=0,"Balance Sheet in Balance","*** Balance Sheet Out of Balance ***")</f>
        <v>Balance Sheet in Balance</v>
      </c>
      <c r="K194" s="33">
        <f>SUM(L194:Q194)</f>
        <v>0</v>
      </c>
      <c r="M194" s="33">
        <f>IF(M77="",0,2^M188)</f>
        <v>0</v>
      </c>
      <c r="N194" s="33">
        <f>IF(N77="",0,2^N188)</f>
        <v>0</v>
      </c>
      <c r="O194" s="33">
        <f>IF(O77="",0,2^O188)</f>
        <v>0</v>
      </c>
      <c r="P194" s="33">
        <f>IF(P77="",0,2^P188)</f>
        <v>0</v>
      </c>
      <c r="Q194" s="33">
        <f>IF(Q77="",0,2^Q188)</f>
        <v>0</v>
      </c>
    </row>
    <row r="196" spans="3:17" ht="13.5">
      <c r="C196" s="33" t="str">
        <f>"&gt;&gt;&gt;"</f>
        <v>&gt;&gt;&gt;</v>
      </c>
      <c r="F196" s="33" t="str">
        <f>IF(K196=0,"Retained Earnings OK","*** Accumulated Deficit ***")</f>
        <v>Retained Earnings OK</v>
      </c>
      <c r="K196" s="33">
        <f>SUM(L196:Q196)</f>
        <v>0</v>
      </c>
      <c r="M196" s="33">
        <f>IF(M68&gt;0,0,2^M188)</f>
        <v>0</v>
      </c>
      <c r="N196" s="33">
        <f>IF(N68&gt;0,0,2^N188)</f>
        <v>0</v>
      </c>
      <c r="O196" s="33">
        <f>IF(O68&gt;0,0,2^O188)</f>
        <v>0</v>
      </c>
      <c r="P196" s="33">
        <f>IF(P68&gt;0,0,2^P188)</f>
        <v>0</v>
      </c>
      <c r="Q196" s="33">
        <f>IF(Q68&gt;0,0,2^Q188)</f>
        <v>0</v>
      </c>
    </row>
    <row r="233" spans="1:18" ht="14.25" thickBot="1">
      <c r="A233" s="56"/>
      <c r="B233" s="56"/>
      <c r="C233" s="56"/>
      <c r="D233" s="56"/>
      <c r="E233" s="56"/>
      <c r="F233" s="56"/>
      <c r="G233" s="56"/>
      <c r="H233" s="56"/>
      <c r="I233" s="56"/>
      <c r="J233" s="56"/>
      <c r="K233" s="56"/>
      <c r="L233" s="56"/>
      <c r="M233" s="56"/>
      <c r="N233" s="56"/>
      <c r="O233" s="56"/>
      <c r="P233" s="56"/>
      <c r="Q233" s="56"/>
      <c r="R233" s="56"/>
    </row>
  </sheetData>
  <sheetProtection password="C4D6" sheet="1" objects="1" scenarios="1"/>
  <printOptions horizontalCentered="1"/>
  <pageMargins left="0.75" right="0.75" top="0.75" bottom="0.5" header="0.25" footer="0.5"/>
  <pageSetup fitToHeight="4" horizontalDpi="300" verticalDpi="300" orientation="landscape" pageOrder="overThenDown" scale="75" r:id="rId1"/>
  <headerFooter alignWithMargins="0">
    <oddHeader>&amp;L&amp;"Book Antiqua,Bold"Maximize ERP Project&amp;C&amp;"Book Antiqua,Bold"Financial Model&amp;R&amp;"Book Antiqua,Bold"&amp;A - &amp;F</oddHeader>
    <oddFooter>&amp;L&amp;"Book Antiqua,Bold"STRICTLY CONFIDENTIAL -- 
Unaudited Preliminary Draft
For discussion and review purposes only
&amp;C&amp;"Book Antiqua,Bold"&amp;P of &amp;N&amp;R&amp;"Book Antiqua,Bold"&amp;D, &amp;T</oddFooter>
  </headerFooter>
  <rowBreaks count="4" manualBreakCount="4">
    <brk id="41" max="65535" man="1"/>
    <brk id="77" max="65535" man="1"/>
    <brk id="122" max="65535" man="1"/>
    <brk id="208" max="65535" man="1"/>
  </rowBreaks>
</worksheet>
</file>

<file path=xl/worksheets/sheet5.xml><?xml version="1.0" encoding="utf-8"?>
<worksheet xmlns="http://schemas.openxmlformats.org/spreadsheetml/2006/main" xmlns:r="http://schemas.openxmlformats.org/officeDocument/2006/relationships">
  <dimension ref="A2:T47"/>
  <sheetViews>
    <sheetView showGridLines="0" zoomScale="75" zoomScaleNormal="75" workbookViewId="0" topLeftCell="A1">
      <pane xSplit="7" ySplit="5" topLeftCell="H6" activePane="bottomRight" state="frozen"/>
      <selection pane="topLeft" activeCell="B38" sqref="B38"/>
      <selection pane="topRight" activeCell="B38" sqref="B38"/>
      <selection pane="bottomLeft" activeCell="B38" sqref="B38"/>
      <selection pane="bottomRight" activeCell="O21" sqref="O21"/>
    </sheetView>
  </sheetViews>
  <sheetFormatPr defaultColWidth="9.00390625" defaultRowHeight="12.75"/>
  <cols>
    <col min="1" max="5" width="2.75390625" style="33" customWidth="1"/>
    <col min="6" max="6" width="13.75390625" style="33" customWidth="1"/>
    <col min="7" max="7" width="14.875" style="33" customWidth="1"/>
    <col min="8" max="8" width="0.2421875" style="33" customWidth="1"/>
    <col min="9" max="9" width="10.75390625" style="33" customWidth="1"/>
    <col min="10" max="19" width="10.25390625" style="33" customWidth="1"/>
    <col min="20" max="20" width="0.875" style="33" customWidth="1"/>
    <col min="21" max="16384" width="10.75390625" style="33" customWidth="1"/>
  </cols>
  <sheetData>
    <row r="1" s="2" customFormat="1" ht="4.5" customHeight="1" thickBot="1"/>
    <row r="2" spans="7:17" s="3" customFormat="1" ht="15.75" customHeight="1" thickTop="1">
      <c r="G2" s="4" t="str">
        <f>+Input!$G$2</f>
        <v>What-If Model</v>
      </c>
      <c r="M2" s="115" t="str">
        <f ca="1">TEXT(NOW(),"mmmm d, yyyy")</f>
        <v>June 8, 2004</v>
      </c>
      <c r="N2" s="116"/>
      <c r="O2" s="117"/>
      <c r="Q2" s="8"/>
    </row>
    <row r="3" spans="13:17" s="3" customFormat="1" ht="13.5" customHeight="1" thickBot="1">
      <c r="M3" s="118">
        <f ca="1">NOW()</f>
        <v>36684.46044386574</v>
      </c>
      <c r="N3" s="119"/>
      <c r="O3" s="120"/>
      <c r="Q3" s="8"/>
    </row>
    <row r="4" s="65" customFormat="1" ht="13.5" customHeight="1" thickTop="1">
      <c r="Q4" s="66"/>
    </row>
    <row r="5" s="67" customFormat="1" ht="4.5" customHeight="1" thickBot="1"/>
    <row r="6" spans="1:20" ht="17.25" thickBot="1">
      <c r="A6" s="122" t="s">
        <v>191</v>
      </c>
      <c r="B6" s="56"/>
      <c r="C6" s="56"/>
      <c r="D6" s="56"/>
      <c r="E6" s="56"/>
      <c r="F6" s="56"/>
      <c r="G6" s="56"/>
      <c r="H6" s="56"/>
      <c r="I6" s="56"/>
      <c r="J6" s="56"/>
      <c r="K6" s="56"/>
      <c r="L6" s="56"/>
      <c r="M6" s="56"/>
      <c r="N6" s="15"/>
      <c r="O6" s="15"/>
      <c r="P6" s="15"/>
      <c r="Q6" s="15"/>
      <c r="R6" s="15"/>
      <c r="S6" s="15"/>
      <c r="T6" s="1"/>
    </row>
    <row r="7" spans="13:20" ht="13.5">
      <c r="M7" s="1"/>
      <c r="Q7" s="98"/>
      <c r="T7" s="1"/>
    </row>
    <row r="8" spans="10:19" ht="15">
      <c r="J8" s="194"/>
      <c r="K8" s="194" t="str">
        <f>Statements!J9</f>
        <v>Pre-Implementation</v>
      </c>
      <c r="L8" s="194"/>
      <c r="M8" s="1"/>
      <c r="O8" s="201"/>
      <c r="P8" s="201"/>
      <c r="Q8" s="194" t="str">
        <f>Statements!M9</f>
        <v>Post-Implementation</v>
      </c>
      <c r="R8" s="201"/>
      <c r="S8" s="201"/>
    </row>
    <row r="9" spans="2:19" ht="15.75" thickBot="1">
      <c r="B9" s="93" t="s">
        <v>192</v>
      </c>
      <c r="J9" s="142">
        <f>Statements!I10</f>
        <v>33784.25</v>
      </c>
      <c r="K9" s="142">
        <f>Statements!J10</f>
        <v>34149.5</v>
      </c>
      <c r="L9" s="142">
        <f>Statements!K10</f>
        <v>34514.75</v>
      </c>
      <c r="M9" s="142">
        <f>Statements!L10</f>
        <v>34880</v>
      </c>
      <c r="N9" s="142" t="str">
        <f>Input!N87</f>
        <v>Benchmark</v>
      </c>
      <c r="O9" s="142">
        <f>+Input!O$106</f>
        <v>35245.25</v>
      </c>
      <c r="P9" s="142">
        <f>+Input!P$106</f>
        <v>35610.5</v>
      </c>
      <c r="Q9" s="142">
        <f>+Input!Q$106</f>
        <v>35975.75</v>
      </c>
      <c r="R9" s="142">
        <f>+Input!R$106</f>
        <v>36341</v>
      </c>
      <c r="S9" s="142">
        <f>+Input!S$106</f>
        <v>36706.25</v>
      </c>
    </row>
    <row r="10" spans="13:14" ht="13.5">
      <c r="M10" s="1"/>
      <c r="N10" s="55"/>
    </row>
    <row r="11" spans="3:14" ht="15">
      <c r="C11" s="99" t="s">
        <v>193</v>
      </c>
      <c r="M11" s="1"/>
      <c r="N11" s="55"/>
    </row>
    <row r="12" spans="4:19" ht="13.5">
      <c r="D12" s="33" t="s">
        <v>194</v>
      </c>
      <c r="M12" s="91">
        <f>+Statements!L$18/Statements!L$56</f>
        <v>0.7347343230004113</v>
      </c>
      <c r="N12" s="55"/>
      <c r="O12" s="91">
        <f>+Statements!M$18/Statements!M$56</f>
        <v>1.1198482588044831</v>
      </c>
      <c r="P12" s="91">
        <f>+Statements!N$18/Statements!N$56</f>
        <v>1.507435552870422</v>
      </c>
      <c r="Q12" s="91">
        <f>+Statements!O$18/Statements!O$56</f>
        <v>1.8970320517747172</v>
      </c>
      <c r="R12" s="91">
        <f>+Statements!P$18/Statements!P$56</f>
        <v>2.28835193214112</v>
      </c>
      <c r="S12" s="91">
        <f>+Statements!Q$18/Statements!Q$56</f>
        <v>2.681099492235859</v>
      </c>
    </row>
    <row r="13" spans="4:19" ht="13.5">
      <c r="D13" s="33" t="s">
        <v>195</v>
      </c>
      <c r="M13" s="91">
        <f>SUM(Statements!L$13:L$14)/Statements!L$56</f>
        <v>0.31828889802939087</v>
      </c>
      <c r="N13" s="55"/>
      <c r="O13" s="91">
        <f>SUM(Statements!M$13:M$14)/Statements!M$56</f>
        <v>0.6887679822519163</v>
      </c>
      <c r="P13" s="91">
        <f>SUM(Statements!N$13:N$14)/Statements!N$56</f>
        <v>1.0614279086342522</v>
      </c>
      <c r="Q13" s="91">
        <f>SUM(Statements!O$13:O$14)/Statements!O$56</f>
        <v>1.4358139556357206</v>
      </c>
      <c r="R13" s="91">
        <f>SUM(Statements!P$13:P$14)/Statements!P$56</f>
        <v>1.8116507787929161</v>
      </c>
      <c r="S13" s="91">
        <f>SUM(Statements!Q$13:Q$14)/Statements!Q$56</f>
        <v>2.188654194068155</v>
      </c>
    </row>
    <row r="14" spans="4:19" ht="13.5">
      <c r="D14" s="33" t="s">
        <v>196</v>
      </c>
      <c r="M14" s="79">
        <f>+Statements!L$18-Statements!L$56</f>
        <v>-7094</v>
      </c>
      <c r="N14" s="113"/>
      <c r="O14" s="79">
        <f>+Statements!M$18-Statements!M$56</f>
        <v>3251.1057393503943</v>
      </c>
      <c r="P14" s="79">
        <f>+Statements!N$18-Statements!N$56</f>
        <v>13969.646221200783</v>
      </c>
      <c r="Q14" s="79">
        <f>+Statements!O$18-Statements!O$56</f>
        <v>25074.81509717618</v>
      </c>
      <c r="R14" s="79">
        <f>+Statements!P$18-Statements!P$56</f>
        <v>36585.89860023283</v>
      </c>
      <c r="S14" s="79">
        <f>+Statements!Q$18-Statements!Q$56</f>
        <v>48523.27853172479</v>
      </c>
    </row>
    <row r="15" spans="13:19" ht="13.5">
      <c r="M15" s="1"/>
      <c r="N15" s="55"/>
      <c r="O15" s="79"/>
      <c r="P15" s="79"/>
      <c r="Q15" s="79"/>
      <c r="R15" s="79"/>
      <c r="S15" s="79"/>
    </row>
    <row r="16" spans="3:19" ht="15">
      <c r="C16" s="99" t="s">
        <v>197</v>
      </c>
      <c r="M16" s="1"/>
      <c r="N16" s="55"/>
      <c r="O16" s="79"/>
      <c r="P16" s="79"/>
      <c r="Q16" s="79"/>
      <c r="R16" s="79"/>
      <c r="S16" s="79"/>
    </row>
    <row r="17" spans="4:19" ht="13.5">
      <c r="D17" s="33" t="s">
        <v>198</v>
      </c>
      <c r="M17" s="91">
        <f>IF(AVERAGE(Statements!L$14,Statements!K$14)=0,"N/A",+Statements!L$85/AVERAGE(Statements!L$14,Statements!K$14))</f>
        <v>32.423032069970844</v>
      </c>
      <c r="N17" s="113"/>
      <c r="O17" s="91">
        <f>IF(AVERAGE(Statements!M$14,Statements!L$14)=0,"N/A",+Statements!M$85/AVERAGE(Statements!M$14,Statements!L$14))</f>
        <v>16.60691886510702</v>
      </c>
      <c r="P17" s="91">
        <f>IF(AVERAGE(Statements!N$14,Statements!M$14)=0,"N/A",+Statements!N$85/AVERAGE(Statements!N$14,Statements!M$14))</f>
        <v>16.606918865107016</v>
      </c>
      <c r="Q17" s="91">
        <f>IF(AVERAGE(Statements!O$14,Statements!N$14)=0,"N/A",+Statements!O$85/AVERAGE(Statements!O$14,Statements!N$14))</f>
        <v>16.60691886510702</v>
      </c>
      <c r="R17" s="91">
        <f>IF(AVERAGE(Statements!P$14,Statements!O$14)=0,"N/A",+Statements!P$85/AVERAGE(Statements!P$14,Statements!O$14))</f>
        <v>16.60691886510702</v>
      </c>
      <c r="S17" s="91">
        <f>IF(AVERAGE(Statements!Q$14,Statements!P$14)=0,"N/A",+Statements!Q$85/AVERAGE(Statements!Q$14,Statements!P$14))</f>
        <v>16.60691886510702</v>
      </c>
    </row>
    <row r="18" spans="4:19" ht="13.5">
      <c r="D18" s="1"/>
      <c r="E18" s="33" t="s">
        <v>199</v>
      </c>
      <c r="M18" s="158">
        <f>IF(M17="N/A","N/A",+Input!$M$139/M17)</f>
        <v>11.257429570815837</v>
      </c>
      <c r="N18" s="113"/>
      <c r="O18" s="91">
        <f>IF(O17="N/A","N/A",+Input!$M$139/O17)</f>
        <v>21.97879106683092</v>
      </c>
      <c r="P18" s="91">
        <f>IF(P17="N/A","N/A",+Input!$M$139/P17)</f>
        <v>21.978791066830922</v>
      </c>
      <c r="Q18" s="91">
        <f>IF(Q17="N/A","N/A",+Input!$M$139/Q17)</f>
        <v>21.97879106683092</v>
      </c>
      <c r="R18" s="91">
        <f>IF(R17="N/A","N/A",+Input!$M$139/R17)</f>
        <v>21.97879106683092</v>
      </c>
      <c r="S18" s="91">
        <f>IF(S17="N/A","N/A",+Input!$M$139/S17)</f>
        <v>21.97879106683092</v>
      </c>
    </row>
    <row r="19" spans="4:19" ht="13.5">
      <c r="D19" s="33" t="s">
        <v>200</v>
      </c>
      <c r="M19" s="91">
        <f>Statements!L$86/AVERAGE(Statements!L$15,Statements!K$15)</f>
        <v>21.930190058479532</v>
      </c>
      <c r="N19" s="113"/>
      <c r="O19" s="91">
        <f>Statements!M$86/AVERAGE(Statements!M$15,Statements!L$15)</f>
        <v>11.232536371416346</v>
      </c>
      <c r="P19" s="91">
        <f>Statements!N$86/AVERAGE(Statements!N$15,Statements!M$15)</f>
        <v>11.232536371416346</v>
      </c>
      <c r="Q19" s="91">
        <f>Statements!O$86/AVERAGE(Statements!O$15,Statements!N$15)</f>
        <v>11.232536371416344</v>
      </c>
      <c r="R19" s="91">
        <f>Statements!P$86/AVERAGE(Statements!P$15,Statements!O$15)</f>
        <v>11.232536371416346</v>
      </c>
      <c r="S19" s="91">
        <f>Statements!Q$86/AVERAGE(Statements!Q$15,Statements!P$15)</f>
        <v>11.232536371416344</v>
      </c>
    </row>
    <row r="20" spans="4:19" ht="13.5">
      <c r="D20" s="1"/>
      <c r="E20" s="33" t="s">
        <v>201</v>
      </c>
      <c r="M20" s="158">
        <f>+Input!$M$139/M19</f>
        <v>16.643722604623257</v>
      </c>
      <c r="N20" s="113"/>
      <c r="O20" s="91">
        <f>+Input!$M$139/O19</f>
        <v>32.49488698997874</v>
      </c>
      <c r="P20" s="91">
        <f>+Input!$M$139/P19</f>
        <v>32.49488698997874</v>
      </c>
      <c r="Q20" s="91">
        <f>+Input!$M$139/Q19</f>
        <v>32.494886989978745</v>
      </c>
      <c r="R20" s="91">
        <f>+Input!$M$139/R19</f>
        <v>32.49488698997874</v>
      </c>
      <c r="S20" s="91">
        <f>+Input!$M$139/S19</f>
        <v>32.494886989978745</v>
      </c>
    </row>
    <row r="21" spans="4:19" ht="13.5">
      <c r="D21" s="33" t="s">
        <v>202</v>
      </c>
      <c r="M21" s="158">
        <f>(Statements!L$86)/AVERAGE(Statements!L$48,Statements!K$48)</f>
        <v>15.631366419174157</v>
      </c>
      <c r="N21" s="113"/>
      <c r="O21" s="91">
        <f>(Statements!M$86)/AVERAGE(Statements!M$48,Statements!L$48)</f>
        <v>8.006309629333105</v>
      </c>
      <c r="P21" s="91">
        <f>(Statements!N$86)/AVERAGE(Statements!N$48,Statements!M$48)</f>
        <v>8.006309629333105</v>
      </c>
      <c r="Q21" s="91">
        <f>(Statements!O$86)/AVERAGE(Statements!O$48,Statements!N$48)</f>
        <v>8.006309629333105</v>
      </c>
      <c r="R21" s="91">
        <f>(Statements!P$86)/AVERAGE(Statements!P$48,Statements!O$48)</f>
        <v>8.006309629333106</v>
      </c>
      <c r="S21" s="91">
        <f>(Statements!Q$86)/AVERAGE(Statements!Q$48,Statements!P$48)</f>
        <v>8.006309629333106</v>
      </c>
    </row>
    <row r="22" spans="4:19" ht="13.5">
      <c r="D22" s="1"/>
      <c r="E22" s="33" t="s">
        <v>203</v>
      </c>
      <c r="M22" s="158">
        <f>+Input!$M$139/M21</f>
        <v>23.350485825236245</v>
      </c>
      <c r="N22" s="113"/>
      <c r="O22" s="91">
        <f>+Input!$M$139/O21</f>
        <v>45.58904375403267</v>
      </c>
      <c r="P22" s="91">
        <f>+Input!$M$139/P21</f>
        <v>45.58904375403267</v>
      </c>
      <c r="Q22" s="91">
        <f>+Input!$M$139/Q21</f>
        <v>45.58904375403267</v>
      </c>
      <c r="R22" s="91">
        <f>+Input!$M$139/R21</f>
        <v>45.58904375403266</v>
      </c>
      <c r="S22" s="91">
        <f>+Input!$M$139/S21</f>
        <v>45.58904375403266</v>
      </c>
    </row>
    <row r="23" spans="4:19" ht="13.5">
      <c r="D23" s="33" t="s">
        <v>204</v>
      </c>
      <c r="M23" s="158">
        <f>+Statements!L$85/(AVERAGE(N14,M14))</f>
        <v>-15.676769100648436</v>
      </c>
      <c r="N23" s="113"/>
      <c r="O23" s="91">
        <f>+Statements!M$85/(AVERAGE(O14,N14))</f>
        <v>35.91748757557551</v>
      </c>
      <c r="P23" s="91">
        <f>+Statements!N$85/(AVERAGE(P14,O14))</f>
        <v>14.239811104749885</v>
      </c>
      <c r="Q23" s="91">
        <f>+Statements!O$85/(AVERAGE(Q14,P14))</f>
        <v>6.594565760568246</v>
      </c>
      <c r="R23" s="91">
        <f>+Statements!P$85/(AVERAGE(R14,Q14))</f>
        <v>4.384563767202397</v>
      </c>
      <c r="S23" s="91">
        <f>+Statements!Q$85/(AVERAGE(S14,R14))</f>
        <v>3.3353993924091605</v>
      </c>
    </row>
    <row r="24" spans="4:19" ht="13.5">
      <c r="D24" s="33" t="s">
        <v>205</v>
      </c>
      <c r="M24" s="91">
        <f>Statements!L$85/AVERAGE(Statements!L$24,Statements!K$24)</f>
        <v>3.5896517220231754</v>
      </c>
      <c r="N24" s="91"/>
      <c r="O24" s="91">
        <f>Statements!M$85/AVERAGE(Statements!M$24,Statements!L$24)</f>
        <v>1.961803512835207</v>
      </c>
      <c r="P24" s="91">
        <f>Statements!N$85/AVERAGE(Statements!N$24,Statements!M$24)</f>
        <v>2.243812767805268</v>
      </c>
      <c r="Q24" s="91">
        <f>Statements!O$85/AVERAGE(Statements!O$24,Statements!N$24)</f>
        <v>2.5869841322931326</v>
      </c>
      <c r="R24" s="91">
        <f>Statements!P$85/AVERAGE(Statements!P$24,Statements!O$24)</f>
        <v>3.0115869627021143</v>
      </c>
      <c r="S24" s="91">
        <f>Statements!Q$85/AVERAGE(Statements!Q$24,Statements!P$24)</f>
        <v>3.5477963487441984</v>
      </c>
    </row>
    <row r="25" spans="4:19" ht="13.5">
      <c r="D25" s="33" t="s">
        <v>206</v>
      </c>
      <c r="M25" s="158">
        <f>+Statements!L$85/AVERAGE(Statements!L$40,Statements!K$40)</f>
        <v>2.6433180818824646</v>
      </c>
      <c r="N25" s="91"/>
      <c r="O25" s="91">
        <f>+Statements!M$85/AVERAGE(Statements!M$40,Statements!L$40)</f>
        <v>1.3401069744177139</v>
      </c>
      <c r="P25" s="91">
        <f>+Statements!N$85/AVERAGE(Statements!N$40,Statements!M$40)</f>
        <v>1.313940767315092</v>
      </c>
      <c r="Q25" s="91">
        <f>+Statements!O$85/AVERAGE(Statements!O$40,Statements!N$40)</f>
        <v>1.288731899356855</v>
      </c>
      <c r="R25" s="91">
        <f>+Statements!P$85/AVERAGE(Statements!P$40,Statements!O$40)</f>
        <v>1.2644866249422533</v>
      </c>
      <c r="S25" s="91">
        <f>+Statements!Q$85/AVERAGE(Statements!Q$40,Statements!P$40)</f>
        <v>1.241201453675966</v>
      </c>
    </row>
    <row r="26" spans="13:19" ht="13.5">
      <c r="M26" s="154"/>
      <c r="N26" s="55"/>
      <c r="O26" s="91"/>
      <c r="P26" s="91"/>
      <c r="Q26" s="91"/>
      <c r="R26" s="91"/>
      <c r="S26" s="91"/>
    </row>
    <row r="27" spans="3:19" ht="15">
      <c r="C27" s="99" t="s">
        <v>207</v>
      </c>
      <c r="M27" s="154"/>
      <c r="N27" s="55"/>
      <c r="O27" s="91"/>
      <c r="P27" s="91"/>
      <c r="Q27" s="91"/>
      <c r="R27" s="91"/>
      <c r="S27" s="91"/>
    </row>
    <row r="28" spans="4:19" ht="13.5">
      <c r="D28" s="33" t="s">
        <v>208</v>
      </c>
      <c r="M28" s="114">
        <f>+Statements!L$115/AVERAGE(Statements!L$73,Statements!K$73)</f>
        <v>0.3035180501264659</v>
      </c>
      <c r="N28" s="55"/>
      <c r="O28" s="114">
        <f>+Statements!M$115/AVERAGE(Statements!M$73,Statements!L$73)</f>
        <v>0.14998811204090448</v>
      </c>
      <c r="P28" s="114">
        <f>+Statements!N$115/AVERAGE(Statements!N$73,Statements!M$73)</f>
        <v>0.13861634572076628</v>
      </c>
      <c r="Q28" s="114">
        <f>+Statements!O$115/AVERAGE(Statements!O$73,Statements!N$73)</f>
        <v>0.12929314022005176</v>
      </c>
      <c r="R28" s="114">
        <f>+Statements!P$115/AVERAGE(Statements!P$73,Statements!O$73)</f>
        <v>0.12150860440029304</v>
      </c>
      <c r="S28" s="114">
        <f>+Statements!Q$115/AVERAGE(Statements!Q$73,Statements!P$73)</f>
        <v>0.11490964320098616</v>
      </c>
    </row>
    <row r="29" spans="13:19" ht="13.5">
      <c r="M29" s="1"/>
      <c r="N29" s="55"/>
      <c r="O29" s="114"/>
      <c r="P29" s="114"/>
      <c r="Q29" s="114"/>
      <c r="R29" s="114"/>
      <c r="S29" s="114"/>
    </row>
    <row r="30" spans="3:19" ht="15">
      <c r="C30" s="99" t="s">
        <v>209</v>
      </c>
      <c r="M30" s="1"/>
      <c r="N30" s="55"/>
      <c r="O30" s="91"/>
      <c r="P30" s="91"/>
      <c r="Q30" s="91"/>
      <c r="R30" s="91"/>
      <c r="S30" s="91"/>
    </row>
    <row r="31" spans="4:20" ht="13.5">
      <c r="D31" s="33" t="s">
        <v>210</v>
      </c>
      <c r="O31" s="95">
        <f>Input!O90</f>
        <v>0.05</v>
      </c>
      <c r="P31" s="95">
        <f>Input!P90</f>
        <v>0.05</v>
      </c>
      <c r="Q31" s="95">
        <f>Input!Q90</f>
        <v>0.05</v>
      </c>
      <c r="R31" s="95">
        <f>Input!R90</f>
        <v>0.05</v>
      </c>
      <c r="S31" s="95">
        <f>Input!S90</f>
        <v>0.05</v>
      </c>
      <c r="T31" s="95">
        <f>Input!T90</f>
        <v>0</v>
      </c>
    </row>
    <row r="32" spans="4:20" ht="13.5">
      <c r="D32" s="33" t="s">
        <v>211</v>
      </c>
      <c r="M32" s="130">
        <f>Statements!$L$115/Input!$O$82</f>
        <v>2.174696466061157</v>
      </c>
      <c r="N32" s="130"/>
      <c r="O32" s="130">
        <f>Statements!$M$115/Input!$O$82</f>
        <v>2.3222352475097794</v>
      </c>
      <c r="P32" s="130">
        <f>Statements!$N$115/Input!$O$82</f>
        <v>2.4764697220668963</v>
      </c>
      <c r="Q32" s="130">
        <f>Statements!$O$115/Input!$O$82</f>
        <v>2.638431124486851</v>
      </c>
      <c r="R32" s="130">
        <f>Statements!$P$115/Input!$O$82</f>
        <v>2.8084936091677504</v>
      </c>
      <c r="S32" s="130">
        <f>Statements!$Q$115/Input!$O$82</f>
        <v>2.987053480673271</v>
      </c>
      <c r="T32" s="130">
        <f>Statements!$L$115/Input!$O$82</f>
        <v>2.174696466061157</v>
      </c>
    </row>
    <row r="33" spans="13:19" ht="13.5">
      <c r="M33" s="1"/>
      <c r="N33" s="55"/>
      <c r="O33" s="55"/>
      <c r="P33" s="55"/>
      <c r="Q33" s="55"/>
      <c r="R33" s="91"/>
      <c r="S33" s="91"/>
    </row>
    <row r="34" spans="3:19" ht="15">
      <c r="C34" s="99" t="s">
        <v>212</v>
      </c>
      <c r="M34" s="1"/>
      <c r="N34" s="55"/>
      <c r="O34" s="91"/>
      <c r="P34" s="91"/>
      <c r="Q34" s="91"/>
      <c r="R34" s="91"/>
      <c r="S34" s="91"/>
    </row>
    <row r="35" spans="4:20" ht="13.5">
      <c r="D35" s="33" t="s">
        <v>213</v>
      </c>
      <c r="M35" s="95">
        <f>Statements!$L$115/Statements!$L$85</f>
        <v>0.047477317891215794</v>
      </c>
      <c r="N35" s="95"/>
      <c r="O35" s="95">
        <f>Statements!$M$115/Statements!$M$85</f>
        <v>0.048284133434514834</v>
      </c>
      <c r="P35" s="95">
        <f>Statements!$N$115/Statements!$N$85</f>
        <v>0.049039039161386716</v>
      </c>
      <c r="Q35" s="95">
        <f>Statements!$O$115/Statements!$O$85</f>
        <v>0.04975828373192496</v>
      </c>
      <c r="R35" s="95">
        <f>Statements!$P$115/Statements!$P$85</f>
        <v>0.050443332662032</v>
      </c>
      <c r="S35" s="95">
        <f>Statements!$Q$115/Statements!$Q$85</f>
        <v>0.05109566207206952</v>
      </c>
      <c r="T35" s="130">
        <f>Statements!$L$115/Statements!$L$85</f>
        <v>0.047477317891215794</v>
      </c>
    </row>
    <row r="36" spans="4:20" ht="13.5">
      <c r="D36" s="33" t="s">
        <v>214</v>
      </c>
      <c r="M36" s="148">
        <f>Statements!L89</f>
        <v>0.46047603204718957</v>
      </c>
      <c r="N36" s="55"/>
      <c r="O36" s="149">
        <f>Statements!M89</f>
        <v>0.46047603204718957</v>
      </c>
      <c r="P36" s="149">
        <f>Statements!N89</f>
        <v>0.4604760320471895</v>
      </c>
      <c r="Q36" s="149">
        <f>Statements!O89</f>
        <v>0.46047603204718957</v>
      </c>
      <c r="R36" s="149">
        <f>Statements!P89</f>
        <v>0.4604760320471895</v>
      </c>
      <c r="S36" s="149">
        <f>Statements!Q89</f>
        <v>0.4604760320471896</v>
      </c>
      <c r="T36" s="149">
        <f>Statements!R89</f>
        <v>0</v>
      </c>
    </row>
    <row r="37" spans="4:20" ht="13.5">
      <c r="D37" s="33" t="s">
        <v>215</v>
      </c>
      <c r="M37" s="95">
        <f>Statements!$L$97/Statements!$L$85</f>
        <v>0.06984920556419778</v>
      </c>
      <c r="N37" s="95"/>
      <c r="O37" s="95">
        <f>Statements!$M$97/Statements!$M$85</f>
        <v>0.06653161664806197</v>
      </c>
      <c r="P37" s="95">
        <f>Statements!$N$97/Statements!$N$85</f>
        <v>0.06336344442672567</v>
      </c>
      <c r="Q37" s="95">
        <f>Statements!$O$97/Statements!$O$85</f>
        <v>0.060346137549262546</v>
      </c>
      <c r="R37" s="95">
        <f>Statements!$P$97/Statements!$P$85</f>
        <v>0.05747251195167861</v>
      </c>
      <c r="S37" s="95">
        <f>Statements!$Q$97/Statements!$Q$85</f>
        <v>0.05473572566826534</v>
      </c>
      <c r="T37" s="95">
        <f>Statements!$L$97/Statements!$L$85</f>
        <v>0.06984920556419778</v>
      </c>
    </row>
    <row r="38" spans="13:19" ht="13.5">
      <c r="M38" s="1"/>
      <c r="N38" s="55"/>
      <c r="O38" s="91"/>
      <c r="P38" s="91"/>
      <c r="Q38" s="91"/>
      <c r="R38" s="91"/>
      <c r="S38" s="91"/>
    </row>
    <row r="39" spans="3:19" ht="15">
      <c r="C39" s="99" t="s">
        <v>216</v>
      </c>
      <c r="M39" s="1"/>
      <c r="N39" s="55"/>
      <c r="O39" s="91"/>
      <c r="P39" s="91"/>
      <c r="Q39" s="91"/>
      <c r="R39" s="91"/>
      <c r="S39" s="91"/>
    </row>
    <row r="40" spans="3:19" ht="15">
      <c r="C40" s="99"/>
      <c r="D40" s="33" t="s">
        <v>217</v>
      </c>
      <c r="J40" s="95" t="e">
        <f>Statements!$I$40/Statements!$I$85</f>
        <v>#DIV/0!</v>
      </c>
      <c r="K40" s="95" t="e">
        <f>Statements!$J$40/Statements!$J$85</f>
        <v>#DIV/0!</v>
      </c>
      <c r="L40" s="95" t="e">
        <f>Statements!$K$40/Statements!$K$85</f>
        <v>#DIV/0!</v>
      </c>
      <c r="M40" s="95">
        <f>Statements!$L$40/Statements!$L$85</f>
        <v>0.7566247943099154</v>
      </c>
      <c r="N40" s="95"/>
      <c r="O40" s="95">
        <f>Statements!$M$40/Statements!$M$85</f>
        <v>0.7718231290203402</v>
      </c>
      <c r="P40" s="95">
        <f>Statements!$N$40/Statements!$N$85</f>
        <v>0.787068983723308</v>
      </c>
      <c r="Q40" s="95">
        <f>Statements!$O$40/Statements!$O$85</f>
        <v>0.8023236560966509</v>
      </c>
      <c r="R40" s="95">
        <f>Statements!$P$40/Statements!$P$85</f>
        <v>0.817551789364161</v>
      </c>
      <c r="S40" s="95">
        <f>Statements!$Q$40/Statements!$Q$85</f>
        <v>0.8327212218234649</v>
      </c>
    </row>
    <row r="41" spans="3:19" ht="15">
      <c r="C41" s="99"/>
      <c r="D41" s="33" t="s">
        <v>134</v>
      </c>
      <c r="J41" s="33">
        <f>Calculations!K103</f>
        <v>0</v>
      </c>
      <c r="K41" s="33">
        <f>Calculations!L103</f>
        <v>0</v>
      </c>
      <c r="L41" s="33">
        <f>Calculations!M103</f>
        <v>0</v>
      </c>
      <c r="M41" s="33">
        <f>Calculations!N103</f>
        <v>32170.8</v>
      </c>
      <c r="N41" s="55"/>
      <c r="O41" s="79">
        <f>Calculations!O103</f>
        <v>34175.314052049216</v>
      </c>
      <c r="P41" s="79">
        <f>Calculations!P103</f>
        <v>36266.27876764369</v>
      </c>
      <c r="Q41" s="79">
        <f>Calculations!Q103</f>
        <v>38452.59671882569</v>
      </c>
      <c r="R41" s="79">
        <f>Calculations!R103</f>
        <v>40738.822336049554</v>
      </c>
      <c r="S41" s="79">
        <f>Calculations!S103</f>
        <v>43129.799895617405</v>
      </c>
    </row>
    <row r="42" spans="3:19" ht="15">
      <c r="C42" s="99"/>
      <c r="M42" s="1"/>
      <c r="N42" s="55"/>
      <c r="O42" s="91"/>
      <c r="P42" s="91"/>
      <c r="Q42" s="91"/>
      <c r="R42" s="91"/>
      <c r="S42" s="91"/>
    </row>
    <row r="43" spans="3:19" ht="15">
      <c r="C43" s="99" t="s">
        <v>2</v>
      </c>
      <c r="M43" s="1"/>
      <c r="N43" s="55"/>
      <c r="O43" s="91"/>
      <c r="P43" s="91"/>
      <c r="Q43" s="91"/>
      <c r="R43" s="91"/>
      <c r="S43" s="91"/>
    </row>
    <row r="44" spans="4:19" ht="13.5">
      <c r="D44" s="33" t="s">
        <v>218</v>
      </c>
      <c r="J44" s="95" t="e">
        <f>Statements!I115/(Statements!I40-Statements!I64)</f>
        <v>#DIV/0!</v>
      </c>
      <c r="K44" s="95" t="e">
        <f>Statements!J115/(Statements!J40-Statements!J64)</f>
        <v>#DIV/0!</v>
      </c>
      <c r="L44" s="95" t="e">
        <f>Statements!K115/(Statements!K40-Statements!K64)</f>
        <v>#DIV/0!</v>
      </c>
      <c r="M44" s="95">
        <f>Statements!L115/(Statements!L40-Statements!L64)</f>
        <v>0.15175902506323294</v>
      </c>
      <c r="N44" s="95"/>
      <c r="O44" s="95">
        <f>Statements!M115/(Statements!M40-Statements!M64)</f>
        <v>0.1395938232582362</v>
      </c>
      <c r="P44" s="95">
        <f>Statements!N115/(Statements!N40-Statements!N64)</f>
        <v>0.12968783488336</v>
      </c>
      <c r="Q44" s="95">
        <f>Statements!O115/(Statements!O40-Statements!O64)</f>
        <v>0.1214884666455452</v>
      </c>
      <c r="R44" s="95">
        <f>Statements!P115/(Statements!P40-Statements!P64)</f>
        <v>0.11458782117779394</v>
      </c>
      <c r="S44" s="95">
        <f>Statements!Q115/(Statements!Q40-Statements!Q64)</f>
        <v>0.10869888273858554</v>
      </c>
    </row>
    <row r="45" spans="4:19" ht="13.5">
      <c r="D45" s="33" t="s">
        <v>219</v>
      </c>
      <c r="M45" s="204">
        <f>NPV(Input!L162,Calculations!O108:S108)</f>
        <v>39728.87917126268</v>
      </c>
      <c r="N45" s="55"/>
      <c r="O45" s="169"/>
      <c r="P45" s="91"/>
      <c r="Q45" s="91"/>
      <c r="R45" s="91"/>
      <c r="S45" s="91"/>
    </row>
    <row r="46" spans="4:19" ht="13.5">
      <c r="D46" s="33" t="s">
        <v>220</v>
      </c>
      <c r="M46" s="207" t="e">
        <f>IRR(Calculations!O108:S108)</f>
        <v>#NUM!</v>
      </c>
      <c r="N46" s="55"/>
      <c r="O46" s="91"/>
      <c r="P46" s="91"/>
      <c r="Q46" s="91"/>
      <c r="R46" s="91"/>
      <c r="S46" s="91"/>
    </row>
    <row r="47" spans="13:19" ht="13.5">
      <c r="M47" s="1"/>
      <c r="N47" s="55"/>
      <c r="O47" s="91"/>
      <c r="P47" s="91"/>
      <c r="Q47" s="91"/>
      <c r="R47" s="91"/>
      <c r="S47" s="91"/>
    </row>
  </sheetData>
  <sheetProtection password="C4D6" sheet="1" objects="1" scenarios="1"/>
  <printOptions horizontalCentered="1"/>
  <pageMargins left="0.75" right="0.75" top="0.75" bottom="0.5" header="0.25" footer="0.5"/>
  <pageSetup horizontalDpi="300" verticalDpi="300" orientation="landscape" pageOrder="overThenDown" scale="75" r:id="rId2"/>
  <headerFooter alignWithMargins="0">
    <oddHeader>&amp;L&amp;"Book Antiqua,Bold"Maximize ERP Project&amp;C&amp;"Book Antiqua,Bold"Financial Model&amp;R&amp;"Book Antiqua,Bold"&amp;A - &amp;F</oddHeader>
    <oddFooter>&amp;L&amp;"Book Antiqua,Bold"STRICTLY CONFIDENTIAL -- 
Unaudited Preliminary Draft
For discussion and review purposes only
&amp;C&amp;"Book Antiqua,Bold"&amp;P of &amp;N&amp;R&amp;"Book Antiqua,Bold"&amp;D, &amp;T</oddFooter>
  </headerFooter>
  <rowBreaks count="3" manualBreakCount="3">
    <brk id="124" max="65535" man="1"/>
    <brk id="379" max="65535" man="1"/>
    <brk id="423" max="6553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Track Tasks in Outlook</cp:lastModifiedBy>
  <cp:lastPrinted>1999-04-28T20:32:32Z</cp:lastPrinted>
  <dcterms:created xsi:type="dcterms:W3CDTF">2004-06-08T14:45:11Z</dcterms:created>
  <dcterms:modified xsi:type="dcterms:W3CDTF">2004-06-08T15:03:12Z</dcterms:modified>
  <cp:category/>
  <cp:version/>
  <cp:contentType/>
  <cp:contentStatus/>
</cp:coreProperties>
</file>